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worksheets/sheet12.xml" ContentType="application/vnd.openxmlformats-officedocument.spreadsheetml.worksheet+xml"/>
  <Override PartName="/xl/chartsheets/sheet2.xml" ContentType="application/vnd.openxmlformats-officedocument.spreadsheetml.chart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omments4.xml" ContentType="application/vnd.openxmlformats-officedocument.spreadsheetml.comments+xml"/>
  <Override PartName="/xl/threadedComments/threadedComment3.xml" ContentType="application/vnd.ms-excel.threadedcomment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comments7.xml" ContentType="application/vnd.openxmlformats-officedocument.spreadsheetml.comments+xml"/>
  <Override PartName="/xl/threadedComments/threadedComment6.xml" ContentType="application/vnd.ms-excel.threadedcomments+xml"/>
  <Override PartName="/xl/comments8.xml" ContentType="application/vnd.openxmlformats-officedocument.spreadsheetml.comments+xml"/>
  <Override PartName="/xl/threadedComments/threadedComment7.xml" ContentType="application/vnd.ms-excel.threadedcomments+xml"/>
  <Override PartName="/xl/drawings/drawing6.xml" ContentType="application/vnd.openxmlformats-officedocument.drawing+xml"/>
  <Override PartName="/xl/comments9.xml" ContentType="application/vnd.openxmlformats-officedocument.spreadsheetml.comments+xml"/>
  <Override PartName="/xl/threadedComments/threadedComment8.xml" ContentType="application/vnd.ms-excel.threadedcomment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omments10.xml" ContentType="application/vnd.openxmlformats-officedocument.spreadsheetml.comments+xml"/>
  <Override PartName="/xl/threadedComments/threadedComment9.xml" ContentType="application/vnd.ms-excel.threadedcomments+xml"/>
  <Override PartName="/xl/drawings/drawing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9.xml" ContentType="application/vnd.openxmlformats-officedocument.drawing+xml"/>
  <Override PartName="/xl/comments11.xml" ContentType="application/vnd.openxmlformats-officedocument.spreadsheetml.comments+xml"/>
  <Override PartName="/xl/threadedComments/threadedComment10.xml" ContentType="application/vnd.ms-excel.threadedcomment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0.xml" ContentType="application/vnd.openxmlformats-officedocument.drawing+xml"/>
  <Override PartName="/xl/comments12.xml" ContentType="application/vnd.openxmlformats-officedocument.spreadsheetml.comments+xml"/>
  <Override PartName="/xl/threadedComments/threadedComment11.xml" ContentType="application/vnd.ms-excel.threadedcomment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1.xml" ContentType="application/vnd.openxmlformats-officedocument.drawing+xml"/>
  <Override PartName="/xl/comments13.xml" ContentType="application/vnd.openxmlformats-officedocument.spreadsheetml.comments+xml"/>
  <Override PartName="/xl/threadedComments/threadedComment12.xml" ContentType="application/vnd.ms-excel.threadedcomment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2.xml" ContentType="application/vnd.openxmlformats-officedocument.drawing+xml"/>
  <Override PartName="/xl/comments14.xml" ContentType="application/vnd.openxmlformats-officedocument.spreadsheetml.comments+xml"/>
  <Override PartName="/xl/threadedComments/threadedComment13.xml" ContentType="application/vnd.ms-excel.threadedcomments+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3.xml" ContentType="application/vnd.openxmlformats-officedocument.drawing+xml"/>
  <Override PartName="/xl/comments15.xml" ContentType="application/vnd.openxmlformats-officedocument.spreadsheetml.comments+xml"/>
  <Override PartName="/xl/threadedComments/threadedComment14.xml" ContentType="application/vnd.ms-excel.threadedcomment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4.xml" ContentType="application/vnd.openxmlformats-officedocument.drawing+xml"/>
  <Override PartName="/xl/charts/chart3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3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3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40.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2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siriuscontrols.sharepoint.com/sites/Sales/Quotes/Templates/"/>
    </mc:Choice>
  </mc:AlternateContent>
  <xr:revisionPtr revIDLastSave="0" documentId="8_{72D83E82-A4DE-4FFF-8A53-2C2717693125}" xr6:coauthVersionLast="47" xr6:coauthVersionMax="47" xr10:uidLastSave="{00000000-0000-0000-0000-000000000000}"/>
  <bookViews>
    <workbookView xWindow="-98" yWindow="-98" windowWidth="24196" windowHeight="14476" tabRatio="884" xr2:uid="{1FCF5C92-C5F2-4B0D-8371-079044E1BF5D}"/>
  </bookViews>
  <sheets>
    <sheet name="PumpSize" sheetId="5" r:id="rId1"/>
    <sheet name="CalData-FUS" sheetId="12" state="veryHidden" r:id="rId2"/>
    <sheet name="SOLAR_DATA" sheetId="34" state="veryHidden" r:id="rId3"/>
    <sheet name="COMET2_SH300" sheetId="35" state="veryHidden" r:id="rId4"/>
    <sheet name="COMET2_DH300" sheetId="36" state="veryHidden" r:id="rId5"/>
    <sheet name="COMET2_HP-DH500" sheetId="37" state="veryHidden" r:id="rId6"/>
    <sheet name="F2_300_SH" sheetId="31" state="veryHidden" r:id="rId7"/>
    <sheet name="F2_300_DH" sheetId="30" state="veryHidden" r:id="rId8"/>
    <sheet name="F2_500_SH" sheetId="28" state="veryHidden" r:id="rId9"/>
    <sheet name="F2_500_DH" sheetId="33" state="veryHidden" r:id="rId10"/>
    <sheet name="DH -COMET_100" sheetId="24" state="veryHidden" r:id="rId11"/>
    <sheet name="DH_COMET_100 PLOTS" sheetId="25" state="veryHidden" r:id="rId12"/>
    <sheet name="DH -F2_100" sheetId="26" state="veryHidden" r:id="rId13"/>
    <sheet name="DH_F2_100 PLOTS" sheetId="27" state="veryHidden" r:id="rId14"/>
    <sheet name="FUSION3_DH100" sheetId="39" state="veryHidden" r:id="rId15"/>
    <sheet name="FUSION3_SH300" sheetId="40" state="veryHidden" r:id="rId16"/>
    <sheet name="FUSION3_DH300" sheetId="41" state="veryHidden" r:id="rId17"/>
    <sheet name="FUSION3_SH500 " sheetId="42" state="veryHidden" r:id="rId18"/>
    <sheet name="FUSION3_DH500 " sheetId="43" state="veryHidden" r:id="rId19"/>
    <sheet name="Comet Pump Curves" sheetId="45" r:id="rId20"/>
    <sheet name="Fusion2 Pump Curves" sheetId="46" r:id="rId21"/>
    <sheet name="Pump Curves F3" sheetId="19" r:id="rId22"/>
    <sheet name="Sheet1" sheetId="38" state="veryHidden" r:id="rId23"/>
    <sheet name="Sheet2" sheetId="44" state="veryHidden" r:id="rId24"/>
  </sheets>
  <externalReferences>
    <externalReference r:id="rId25"/>
    <externalReference r:id="rId26"/>
    <externalReference r:id="rId27"/>
  </externalReferences>
  <definedNames>
    <definedName name="__RPM1" localSheetId="4">COMET2_DH300!$B$95</definedName>
    <definedName name="__RPM1" localSheetId="5">'COMET2_HP-DH500'!$B$95</definedName>
    <definedName name="__RPM1" localSheetId="3">COMET2_SH300!$B$95</definedName>
    <definedName name="__RPM1" localSheetId="10">'DH -COMET_100'!$B$95</definedName>
    <definedName name="__RPM1" localSheetId="12">'DH -F2_100'!$B$95</definedName>
    <definedName name="__RPM1" localSheetId="7">F2_300_DH!$B$95</definedName>
    <definedName name="__RPM1" localSheetId="6">F2_300_SH!$B$95</definedName>
    <definedName name="__RPM1" localSheetId="9">F2_500_DH!$B$95</definedName>
    <definedName name="__RPM1" localSheetId="8">F2_500_SH!$B$95</definedName>
    <definedName name="__RPM1" localSheetId="14">FUSION3_DH100!$B$96</definedName>
    <definedName name="__RPM1" localSheetId="16">FUSION3_DH300!$B$96</definedName>
    <definedName name="__RPM1" localSheetId="18">'FUSION3_DH500 '!$B$96</definedName>
    <definedName name="__RPM1" localSheetId="15">FUSION3_SH300!$B$96</definedName>
    <definedName name="__RPM1" localSheetId="17">'FUSION3_SH500 '!$B$96</definedName>
    <definedName name="__RPM1">#REF!</definedName>
    <definedName name="AmpD">OFFSET(#REF!,1,0,#REF!,1)</definedName>
    <definedName name="Bat.Cap" localSheetId="14">[1]PumpSize!$G$17</definedName>
    <definedName name="Bat.Cap" localSheetId="16">[1]PumpSize!$G$17</definedName>
    <definedName name="Bat.Cap" localSheetId="18">[1]PumpSize!$G$17</definedName>
    <definedName name="Bat.Cap" localSheetId="15">[1]PumpSize!$G$17</definedName>
    <definedName name="Bat.Cap" localSheetId="17">[1]PumpSize!$G$17</definedName>
    <definedName name="Bat.Cap">PumpSize!$G$17</definedName>
    <definedName name="Bat.Cap.Req" localSheetId="14">[1]PumpSize!$G$46</definedName>
    <definedName name="Bat.Cap.Req" localSheetId="16">[1]PumpSize!$G$46</definedName>
    <definedName name="Bat.Cap.Req" localSheetId="18">[1]PumpSize!$G$46</definedName>
    <definedName name="Bat.Cap.Req" localSheetId="15">[1]PumpSize!$G$46</definedName>
    <definedName name="Bat.Cap.Req" localSheetId="17">[1]PumpSize!$G$46</definedName>
    <definedName name="Bat.Cap.Req">PumpSize!$G$46</definedName>
    <definedName name="Bias">#REF!</definedName>
    <definedName name="C.0.DH.I">#REF!</definedName>
    <definedName name="C.0.DH.Q">#REF!</definedName>
    <definedName name="C.0.SH.I">#REF!</definedName>
    <definedName name="C.0.SH.Q">#REF!</definedName>
    <definedName name="C.1.DH.I">#REF!</definedName>
    <definedName name="C.1.DH.Q">#REF!</definedName>
    <definedName name="C.1.SH.I">#REF!</definedName>
    <definedName name="C.1.SH.Q">#REF!</definedName>
    <definedName name="C.2.DH.I">#REF!</definedName>
    <definedName name="C.2.DH.Q">#REF!</definedName>
    <definedName name="C.2.SH.I">#REF!</definedName>
    <definedName name="C.2.SH.Q">#REF!</definedName>
    <definedName name="datalist">'CalData-FUS'!$B$3:$B$28</definedName>
    <definedName name="Duty" localSheetId="14">[1]PumpSize!#REF!</definedName>
    <definedName name="Duty" localSheetId="16">[1]PumpSize!#REF!</definedName>
    <definedName name="Duty" localSheetId="18">[1]PumpSize!#REF!</definedName>
    <definedName name="Duty" localSheetId="15">[1]PumpSize!#REF!</definedName>
    <definedName name="Duty" localSheetId="17">[1]PumpSize!#REF!</definedName>
    <definedName name="Duty">PumpSize!#REF!</definedName>
    <definedName name="F.disch" localSheetId="14">[1]PumpSize!$Q$85</definedName>
    <definedName name="F.disch" localSheetId="16">[1]PumpSize!$Q$85</definedName>
    <definedName name="F.disch" localSheetId="18">[1]PumpSize!$Q$85</definedName>
    <definedName name="F.disch" localSheetId="15">[1]PumpSize!$Q$85</definedName>
    <definedName name="F.disch" localSheetId="17">[1]PumpSize!$Q$85</definedName>
    <definedName name="F.disch">PumpSize!$Q$85</definedName>
    <definedName name="F.temp" localSheetId="14">[1]PumpSize!$Q$84</definedName>
    <definedName name="F.temp" localSheetId="16">[1]PumpSize!$Q$84</definedName>
    <definedName name="F.temp" localSheetId="18">[1]PumpSize!$Q$84</definedName>
    <definedName name="F.temp" localSheetId="15">[1]PumpSize!$Q$84</definedName>
    <definedName name="F.temp" localSheetId="17">[1]PumpSize!$Q$84</definedName>
    <definedName name="F.temp">PumpSize!$Q$84</definedName>
    <definedName name="Flow">#REF!</definedName>
    <definedName name="FlowD">OFFSET(#REF!,1,0,#REF!,1)</definedName>
    <definedName name="Fluid" localSheetId="14">[1]PumpSize!#REF!</definedName>
    <definedName name="Fluid" localSheetId="16">[1]PumpSize!#REF!</definedName>
    <definedName name="Fluid" localSheetId="18">[1]PumpSize!#REF!</definedName>
    <definedName name="Fluid" localSheetId="15">[1]PumpSize!#REF!</definedName>
    <definedName name="Fluid" localSheetId="17">[1]PumpSize!#REF!</definedName>
    <definedName name="Fluid">PumpSize!#REF!</definedName>
    <definedName name="I.Avg">PumpSize!$G$43</definedName>
    <definedName name="I.Panel.Max" localSheetId="14">[1]PumpSize!#REF!</definedName>
    <definedName name="I.Panel.Max" localSheetId="16">[1]PumpSize!#REF!</definedName>
    <definedName name="I.Panel.Max" localSheetId="18">[1]PumpSize!#REF!</definedName>
    <definedName name="I.Panel.Max" localSheetId="15">[1]PumpSize!#REF!</definedName>
    <definedName name="I.Panel.Max" localSheetId="17">[1]PumpSize!#REF!</definedName>
    <definedName name="I.Panel.Max">PumpSize!#REF!</definedName>
    <definedName name="I.Pavg">PumpSize!$G$42</definedName>
    <definedName name="I.Standby" localSheetId="14">[1]PumpSize!#REF!</definedName>
    <definedName name="I.Standby" localSheetId="16">[1]PumpSize!#REF!</definedName>
    <definedName name="I.Standby" localSheetId="18">[1]PumpSize!#REF!</definedName>
    <definedName name="I.Standby" localSheetId="15">[1]PumpSize!#REF!</definedName>
    <definedName name="I.Standby" localSheetId="17">[1]PumpSize!#REF!</definedName>
    <definedName name="I.Standby">PumpSize!#REF!</definedName>
    <definedName name="Insight">PumpSize!$G$14</definedName>
    <definedName name="Locn" localSheetId="14">[1]PumpSize!#REF!</definedName>
    <definedName name="Locn" localSheetId="16">[1]PumpSize!#REF!</definedName>
    <definedName name="Locn" localSheetId="18">[1]PumpSize!#REF!</definedName>
    <definedName name="Locn" localSheetId="15">[1]PumpSize!#REF!</definedName>
    <definedName name="Locn" localSheetId="17">[1]PumpSize!#REF!</definedName>
    <definedName name="Locn">PumpSize!#REF!</definedName>
    <definedName name="MPPT" localSheetId="14">[1]PumpSize!$G$16</definedName>
    <definedName name="MPPT" localSheetId="16">[1]PumpSize!$G$16</definedName>
    <definedName name="MPPT" localSheetId="18">[1]PumpSize!$G$16</definedName>
    <definedName name="MPPT" localSheetId="15">[1]PumpSize!$G$16</definedName>
    <definedName name="MPPT" localSheetId="17">[1]PumpSize!$G$16</definedName>
    <definedName name="MPPT">PumpSize!$G$16</definedName>
    <definedName name="N.Panels" localSheetId="14">[1]PumpSize!#REF!</definedName>
    <definedName name="N.Panels" localSheetId="16">[1]PumpSize!#REF!</definedName>
    <definedName name="N.Panels" localSheetId="18">[1]PumpSize!#REF!</definedName>
    <definedName name="N.Panels" localSheetId="15">[1]PumpSize!#REF!</definedName>
    <definedName name="N.Panels" localSheetId="17">[1]PumpSize!#REF!</definedName>
    <definedName name="N.Panels">PumpSize!#REF!</definedName>
    <definedName name="OnTime.Nominal">#REF!</definedName>
    <definedName name="OnTime.Q2">#REF!</definedName>
    <definedName name="OnTime.Q3">#REF!</definedName>
    <definedName name="OnTime.Q4">#REF!</definedName>
    <definedName name="OnTime.QMax">#REF!</definedName>
    <definedName name="OnTime.QMin">#REF!</definedName>
    <definedName name="Pavg">PumpSize!$Q$40</definedName>
    <definedName name="Pmax">#REF!</definedName>
    <definedName name="Pmin">#REF!</definedName>
    <definedName name="Press1" localSheetId="4">COMET2_DH300!$B$96</definedName>
    <definedName name="Press1" localSheetId="5">'COMET2_HP-DH500'!$B$96</definedName>
    <definedName name="Press1" localSheetId="3">COMET2_SH300!$B$96</definedName>
    <definedName name="Press1" localSheetId="10">'DH -COMET_100'!$B$96</definedName>
    <definedName name="Press1" localSheetId="12">'DH -F2_100'!$B$96</definedName>
    <definedName name="Press1" localSheetId="7">F2_300_DH!$B$96</definedName>
    <definedName name="Press1" localSheetId="6">F2_300_SH!$B$96</definedName>
    <definedName name="Press1" localSheetId="9">F2_500_DH!$B$96</definedName>
    <definedName name="Press1" localSheetId="8">F2_500_SH!$B$96</definedName>
    <definedName name="Press1" localSheetId="14">FUSION3_DH100!$B$97</definedName>
    <definedName name="Press1" localSheetId="16">FUSION3_DH300!$B$97</definedName>
    <definedName name="Press1" localSheetId="18">'FUSION3_DH500 '!$B$97</definedName>
    <definedName name="Press1" localSheetId="15">FUSION3_SH300!$B$97</definedName>
    <definedName name="Press1" localSheetId="17">'FUSION3_SH500 '!$B$97</definedName>
    <definedName name="Press1">#REF!</definedName>
    <definedName name="PressD">OFFSET(#REF!,1,0,#REF!,1)</definedName>
    <definedName name="Pressure">#REF!</definedName>
    <definedName name="_xlnm.Print_Area" localSheetId="4">COMET2_DH300!$A$1:$N$61</definedName>
    <definedName name="_xlnm.Print_Area" localSheetId="5">'COMET2_HP-DH500'!$A$1:$N$61</definedName>
    <definedName name="_xlnm.Print_Area" localSheetId="3">COMET2_SH300!$A$1:$N$61</definedName>
    <definedName name="_xlnm.Print_Area" localSheetId="10">'DH -COMET_100'!$A$1:$N$61</definedName>
    <definedName name="_xlnm.Print_Area" localSheetId="12">'DH -F2_100'!$A$1:$N$61</definedName>
    <definedName name="_xlnm.Print_Area" localSheetId="7">F2_300_DH!$A$1:$N$61</definedName>
    <definedName name="_xlnm.Print_Area" localSheetId="6">F2_300_SH!$A$1:$N$61</definedName>
    <definedName name="_xlnm.Print_Area" localSheetId="9">F2_500_DH!$A$1:$N$61</definedName>
    <definedName name="_xlnm.Print_Area" localSheetId="8">F2_500_SH!$A$1:$N$61</definedName>
    <definedName name="_xlnm.Print_Area" localSheetId="14">FUSION3_DH100!$A$1:$U$62</definedName>
    <definedName name="_xlnm.Print_Area" localSheetId="16">FUSION3_DH300!$A$1:$U$62</definedName>
    <definedName name="_xlnm.Print_Area" localSheetId="18">'FUSION3_DH500 '!$A$1:$U$62</definedName>
    <definedName name="_xlnm.Print_Area" localSheetId="15">FUSION3_SH300!$A$1:$U$62</definedName>
    <definedName name="_xlnm.Print_Area" localSheetId="17">'FUSION3_SH500 '!$A$1:$U$62</definedName>
    <definedName name="Pwr.10.Day" localSheetId="14">[1]PumpSize!$G$45</definedName>
    <definedName name="Pwr.10.Day" localSheetId="16">[1]PumpSize!$G$45</definedName>
    <definedName name="Pwr.10.Day" localSheetId="18">[1]PumpSize!$G$45</definedName>
    <definedName name="Pwr.10.Day" localSheetId="15">[1]PumpSize!$G$45</definedName>
    <definedName name="Pwr.10.Day" localSheetId="17">[1]PumpSize!$G$45</definedName>
    <definedName name="Pwr.10.Day">PumpSize!$G$45</definedName>
    <definedName name="Pwr.Day" localSheetId="14">[1]PumpSize!$G$44</definedName>
    <definedName name="Pwr.Day" localSheetId="16">[1]PumpSize!$G$44</definedName>
    <definedName name="Pwr.Day" localSheetId="18">[1]PumpSize!$G$44</definedName>
    <definedName name="Pwr.Day" localSheetId="15">[1]PumpSize!$G$44</definedName>
    <definedName name="Pwr.Day" localSheetId="17">[1]PumpSize!$G$44</definedName>
    <definedName name="Pwr.Day">PumpSize!$G$44</definedName>
    <definedName name="Pwr.Panel" localSheetId="14">[1]PumpSize!#REF!</definedName>
    <definedName name="Pwr.Panel" localSheetId="16">[1]PumpSize!#REF!</definedName>
    <definedName name="Pwr.Panel" localSheetId="18">[1]PumpSize!#REF!</definedName>
    <definedName name="Pwr.Panel" localSheetId="15">[1]PumpSize!#REF!</definedName>
    <definedName name="Pwr.Panel" localSheetId="17">[1]PumpSize!#REF!</definedName>
    <definedName name="Pwr.Panel">PumpSize!#REF!</definedName>
    <definedName name="Q">PumpSize!$P$12</definedName>
    <definedName name="Q.1">#REF!</definedName>
    <definedName name="Q.2">#REF!</definedName>
    <definedName name="Q.3">#REF!</definedName>
    <definedName name="Q.4">#REF!</definedName>
    <definedName name="Q.max">#REF!</definedName>
    <definedName name="Q.min">#REF!</definedName>
    <definedName name="Q.Pavg" localSheetId="14">[1]PumpSize!$G$39</definedName>
    <definedName name="Q.Pavg" localSheetId="16">[1]PumpSize!$G$39</definedName>
    <definedName name="Q.Pavg" localSheetId="18">[1]PumpSize!$G$39</definedName>
    <definedName name="Q.Pavg" localSheetId="15">[1]PumpSize!$G$39</definedName>
    <definedName name="Q.Pavg" localSheetId="17">[1]PumpSize!$G$39</definedName>
    <definedName name="Q.Pavg">PumpSize!$G$39</definedName>
    <definedName name="Q.Rnd">#REF!</definedName>
    <definedName name="Rechrg.I" localSheetId="14">[1]PumpSize!#REF!</definedName>
    <definedName name="Rechrg.I" localSheetId="16">[1]PumpSize!#REF!</definedName>
    <definedName name="Rechrg.I" localSheetId="18">[1]PumpSize!#REF!</definedName>
    <definedName name="Rechrg.I" localSheetId="15">[1]PumpSize!#REF!</definedName>
    <definedName name="Rechrg.I" localSheetId="17">[1]PumpSize!#REF!</definedName>
    <definedName name="Rechrg.I">PumpSize!#REF!</definedName>
    <definedName name="Rechrg.Time">PumpSize!$G$32</definedName>
    <definedName name="sg_corr_factor" localSheetId="14">FUSION3_DH100!$I$70</definedName>
    <definedName name="sg_corr_factor" localSheetId="18">'FUSION3_DH500 '!$I$70</definedName>
    <definedName name="sg_corr_factor" localSheetId="15">FUSION3_SH300!$I$70</definedName>
    <definedName name="sg_corr_factor" localSheetId="17">'FUSION3_SH500 '!$I$70</definedName>
    <definedName name="sg_corr_factor">FUSION3_DH300!$I$70</definedName>
    <definedName name="t.cycle">PumpSize!$G$14</definedName>
    <definedName name="t.Off" localSheetId="14">[1]PumpSize!#REF!</definedName>
    <definedName name="t.Off" localSheetId="16">[1]PumpSize!#REF!</definedName>
    <definedName name="t.Off" localSheetId="18">[1]PumpSize!#REF!</definedName>
    <definedName name="t.Off" localSheetId="15">[1]PumpSize!#REF!</definedName>
    <definedName name="t.Off" localSheetId="17">[1]PumpSize!#REF!</definedName>
    <definedName name="t.Off">PumpSize!#REF!</definedName>
    <definedName name="t.On" localSheetId="14">[1]PumpSize!#REF!</definedName>
    <definedName name="t.On" localSheetId="16">[1]PumpSize!#REF!</definedName>
    <definedName name="t.On" localSheetId="18">[1]PumpSize!#REF!</definedName>
    <definedName name="t.On" localSheetId="15">[1]PumpSize!#REF!</definedName>
    <definedName name="t.On" localSheetId="17">[1]PumpSize!#REF!</definedName>
    <definedName name="t.On">PumpSize!#REF!</definedName>
    <definedName name="V.Panel" localSheetId="14">[1]PumpSize!$R$28</definedName>
    <definedName name="V.Panel" localSheetId="16">[1]PumpSize!$R$28</definedName>
    <definedName name="V.Panel" localSheetId="18">[1]PumpSize!$R$28</definedName>
    <definedName name="V.Panel" localSheetId="15">[1]PumpSize!$R$28</definedName>
    <definedName name="V.Panel" localSheetId="17">[1]PumpSize!$R$28</definedName>
    <definedName name="V.Panel">PumpSize!$R$28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5" l="1"/>
  <c r="G34" i="5"/>
  <c r="G33" i="5"/>
  <c r="E17" i="38"/>
  <c r="E8" i="38"/>
  <c r="R31" i="5"/>
  <c r="P12" i="5" s="1"/>
  <c r="E3" i="38" s="1"/>
  <c r="F3" i="38" s="1"/>
  <c r="B80" i="39"/>
  <c r="R74" i="39" s="1"/>
  <c r="Z4" i="43"/>
  <c r="Q5" i="43"/>
  <c r="Z5" i="43"/>
  <c r="C6" i="43"/>
  <c r="Q6" i="43"/>
  <c r="Z6" i="43"/>
  <c r="Q7" i="43"/>
  <c r="Z7" i="43"/>
  <c r="B35" i="43" s="1"/>
  <c r="Z8" i="43"/>
  <c r="AH9" i="43"/>
  <c r="AH11" i="43"/>
  <c r="A12" i="43"/>
  <c r="E12" i="43"/>
  <c r="F12" i="43"/>
  <c r="I12" i="43"/>
  <c r="L12" i="43"/>
  <c r="O12" i="43"/>
  <c r="P12" i="43"/>
  <c r="Q12" i="43"/>
  <c r="R12" i="43" s="1"/>
  <c r="V12" i="43"/>
  <c r="E13" i="43"/>
  <c r="F13" i="43" s="1"/>
  <c r="I13" i="43"/>
  <c r="L13" i="43"/>
  <c r="O13" i="43"/>
  <c r="P13" i="43"/>
  <c r="Q13" i="43"/>
  <c r="R13" i="43" s="1"/>
  <c r="T13" i="43"/>
  <c r="V13" i="43"/>
  <c r="AH13" i="43"/>
  <c r="E14" i="43"/>
  <c r="F14" i="43" s="1"/>
  <c r="I14" i="43"/>
  <c r="L14" i="43"/>
  <c r="O14" i="43"/>
  <c r="P14" i="43"/>
  <c r="T14" i="43" s="1"/>
  <c r="Q14" i="43"/>
  <c r="R14" i="43"/>
  <c r="V14" i="43"/>
  <c r="AH14" i="43"/>
  <c r="E15" i="43"/>
  <c r="F15" i="43" s="1"/>
  <c r="I15" i="43"/>
  <c r="L15" i="43"/>
  <c r="O15" i="43"/>
  <c r="P15" i="43"/>
  <c r="Q15" i="43" s="1"/>
  <c r="R15" i="43" s="1"/>
  <c r="T15" i="43"/>
  <c r="V15" i="43"/>
  <c r="AH15" i="43"/>
  <c r="E16" i="43"/>
  <c r="F16" i="43"/>
  <c r="I16" i="43"/>
  <c r="L16" i="43"/>
  <c r="O16" i="43"/>
  <c r="P16" i="43"/>
  <c r="Q16" i="43" s="1"/>
  <c r="R16" i="43" s="1"/>
  <c r="T16" i="43"/>
  <c r="V16" i="43"/>
  <c r="AH16" i="43"/>
  <c r="E17" i="43"/>
  <c r="F17" i="43"/>
  <c r="I17" i="43"/>
  <c r="L17" i="43"/>
  <c r="O17" i="43"/>
  <c r="P17" i="43"/>
  <c r="T17" i="43" s="1"/>
  <c r="Q17" i="43"/>
  <c r="R17" i="43" s="1"/>
  <c r="V17" i="43"/>
  <c r="A19" i="43"/>
  <c r="Q19" i="43" s="1"/>
  <c r="R19" i="43" s="1"/>
  <c r="E19" i="43"/>
  <c r="F19" i="43"/>
  <c r="I19" i="43"/>
  <c r="L19" i="43"/>
  <c r="O19" i="43"/>
  <c r="P19" i="43"/>
  <c r="V19" i="43"/>
  <c r="E20" i="43"/>
  <c r="F20" i="43"/>
  <c r="I20" i="43"/>
  <c r="L20" i="43"/>
  <c r="O20" i="43"/>
  <c r="P20" i="43"/>
  <c r="Q20" i="43"/>
  <c r="R20" i="43" s="1"/>
  <c r="T20" i="43"/>
  <c r="V20" i="43"/>
  <c r="AH20" i="43"/>
  <c r="E21" i="43"/>
  <c r="F21" i="43" s="1"/>
  <c r="I21" i="43"/>
  <c r="L21" i="43"/>
  <c r="O21" i="43"/>
  <c r="P21" i="43"/>
  <c r="T21" i="43" s="1"/>
  <c r="Q21" i="43"/>
  <c r="R21" i="43"/>
  <c r="V21" i="43"/>
  <c r="AH21" i="43"/>
  <c r="E22" i="43"/>
  <c r="F22" i="43" s="1"/>
  <c r="I22" i="43"/>
  <c r="L22" i="43"/>
  <c r="O22" i="43"/>
  <c r="P22" i="43"/>
  <c r="Q22" i="43" s="1"/>
  <c r="R22" i="43" s="1"/>
  <c r="T22" i="43"/>
  <c r="V22" i="43"/>
  <c r="AH22" i="43"/>
  <c r="E23" i="43"/>
  <c r="F23" i="43"/>
  <c r="I23" i="43"/>
  <c r="L23" i="43"/>
  <c r="O23" i="43"/>
  <c r="P23" i="43"/>
  <c r="Q23" i="43" s="1"/>
  <c r="R23" i="43" s="1"/>
  <c r="T23" i="43"/>
  <c r="V23" i="43"/>
  <c r="AH23" i="43"/>
  <c r="E24" i="43"/>
  <c r="F24" i="43"/>
  <c r="I24" i="43"/>
  <c r="L24" i="43"/>
  <c r="O24" i="43"/>
  <c r="P24" i="43"/>
  <c r="T24" i="43" s="1"/>
  <c r="Q24" i="43"/>
  <c r="R24" i="43" s="1"/>
  <c r="V24" i="43"/>
  <c r="A26" i="43"/>
  <c r="B26" i="43"/>
  <c r="E26" i="43"/>
  <c r="F26" i="43"/>
  <c r="P26" i="43"/>
  <c r="Q26" i="43"/>
  <c r="R26" i="43" s="1"/>
  <c r="B27" i="43"/>
  <c r="E27" i="43"/>
  <c r="F27" i="43"/>
  <c r="E89" i="43" s="1"/>
  <c r="P27" i="43"/>
  <c r="Q27" i="43" s="1"/>
  <c r="R27" i="43" s="1"/>
  <c r="T27" i="43"/>
  <c r="AH27" i="43"/>
  <c r="B28" i="43"/>
  <c r="E28" i="43"/>
  <c r="F28" i="43"/>
  <c r="P28" i="43"/>
  <c r="T28" i="43" s="1"/>
  <c r="Q28" i="43"/>
  <c r="R28" i="43" s="1"/>
  <c r="AH28" i="43"/>
  <c r="B29" i="43"/>
  <c r="E29" i="43"/>
  <c r="F29" i="43"/>
  <c r="P29" i="43"/>
  <c r="T29" i="43" s="1"/>
  <c r="Q29" i="43"/>
  <c r="R29" i="43"/>
  <c r="AH29" i="43"/>
  <c r="B30" i="43"/>
  <c r="E30" i="43"/>
  <c r="F30" i="43" s="1"/>
  <c r="E92" i="43" s="1"/>
  <c r="P30" i="43"/>
  <c r="Q30" i="43"/>
  <c r="T30" i="43"/>
  <c r="AH30" i="43"/>
  <c r="B31" i="43"/>
  <c r="E31" i="43"/>
  <c r="F31" i="43"/>
  <c r="P31" i="43"/>
  <c r="Q31" i="43" s="1"/>
  <c r="R31" i="43" s="1"/>
  <c r="A33" i="43"/>
  <c r="E33" i="43"/>
  <c r="F33" i="43"/>
  <c r="E34" i="43"/>
  <c r="F34" i="43"/>
  <c r="F89" i="43" s="1"/>
  <c r="AH34" i="43"/>
  <c r="E35" i="43"/>
  <c r="F35" i="43"/>
  <c r="AH35" i="43"/>
  <c r="E36" i="43"/>
  <c r="F36" i="43"/>
  <c r="AH36" i="43"/>
  <c r="E37" i="43"/>
  <c r="F37" i="43" s="1"/>
  <c r="F92" i="43" s="1"/>
  <c r="AH37" i="43"/>
  <c r="E38" i="43"/>
  <c r="F38" i="43"/>
  <c r="A40" i="43"/>
  <c r="B40" i="43"/>
  <c r="E40" i="43"/>
  <c r="F40" i="43"/>
  <c r="B41" i="43"/>
  <c r="E41" i="43"/>
  <c r="F41" i="43"/>
  <c r="AH41" i="43"/>
  <c r="B42" i="43"/>
  <c r="E42" i="43"/>
  <c r="F42" i="43"/>
  <c r="AH42" i="43"/>
  <c r="B43" i="43"/>
  <c r="E43" i="43"/>
  <c r="F43" i="43"/>
  <c r="AH43" i="43"/>
  <c r="B44" i="43"/>
  <c r="E44" i="43"/>
  <c r="F44" i="43" s="1"/>
  <c r="G92" i="43" s="1"/>
  <c r="AH44" i="43"/>
  <c r="B45" i="43"/>
  <c r="E45" i="43"/>
  <c r="F45" i="43"/>
  <c r="A47" i="43"/>
  <c r="B47" i="43"/>
  <c r="E47" i="43"/>
  <c r="F47" i="43"/>
  <c r="B48" i="43"/>
  <c r="E48" i="43"/>
  <c r="F48" i="43"/>
  <c r="H89" i="43" s="1"/>
  <c r="J89" i="43" s="1"/>
  <c r="AH48" i="43"/>
  <c r="B49" i="43"/>
  <c r="E49" i="43"/>
  <c r="F49" i="43"/>
  <c r="AH49" i="43"/>
  <c r="B50" i="43"/>
  <c r="E50" i="43"/>
  <c r="F50" i="43"/>
  <c r="AH50" i="43"/>
  <c r="B51" i="43"/>
  <c r="E51" i="43"/>
  <c r="F51" i="43" s="1"/>
  <c r="H92" i="43" s="1"/>
  <c r="J92" i="43" s="1"/>
  <c r="AH51" i="43"/>
  <c r="B52" i="43"/>
  <c r="E52" i="43"/>
  <c r="F52" i="43"/>
  <c r="A54" i="43"/>
  <c r="B54" i="43"/>
  <c r="B55" i="43" s="1"/>
  <c r="B56" i="43" s="1"/>
  <c r="B57" i="43" s="1"/>
  <c r="B58" i="43" s="1"/>
  <c r="B59" i="43" s="1"/>
  <c r="E54" i="43"/>
  <c r="F54" i="43"/>
  <c r="E55" i="43"/>
  <c r="F55" i="43"/>
  <c r="E56" i="43"/>
  <c r="F56" i="43" s="1"/>
  <c r="I90" i="43" s="1"/>
  <c r="E57" i="43"/>
  <c r="F57" i="43"/>
  <c r="E58" i="43"/>
  <c r="F58" i="43" s="1"/>
  <c r="I92" i="43" s="1"/>
  <c r="E59" i="43"/>
  <c r="F59" i="43"/>
  <c r="E64" i="43"/>
  <c r="E65" i="43"/>
  <c r="S65" i="43"/>
  <c r="T65" i="43"/>
  <c r="U65" i="43"/>
  <c r="W65" i="43"/>
  <c r="X65" i="43"/>
  <c r="R66" i="43"/>
  <c r="S66" i="43"/>
  <c r="T66" i="43"/>
  <c r="U66" i="43"/>
  <c r="R67" i="43"/>
  <c r="S67" i="43"/>
  <c r="U86" i="43" s="1"/>
  <c r="T67" i="43"/>
  <c r="U67" i="43"/>
  <c r="I68" i="43"/>
  <c r="R68" i="43"/>
  <c r="S68" i="43"/>
  <c r="T68" i="43"/>
  <c r="U68" i="43"/>
  <c r="R69" i="43"/>
  <c r="S69" i="43"/>
  <c r="T69" i="43"/>
  <c r="U69" i="43"/>
  <c r="I70" i="43"/>
  <c r="L26" i="43" s="1"/>
  <c r="R70" i="43"/>
  <c r="S70" i="43"/>
  <c r="T70" i="43"/>
  <c r="U70" i="43"/>
  <c r="R71" i="43"/>
  <c r="S71" i="43"/>
  <c r="T71" i="43"/>
  <c r="T85" i="43"/>
  <c r="U85" i="43"/>
  <c r="W85" i="43"/>
  <c r="W86" i="43"/>
  <c r="C87" i="43"/>
  <c r="D87" i="43"/>
  <c r="E87" i="43"/>
  <c r="G87" i="43"/>
  <c r="H87" i="43"/>
  <c r="J87" i="43" s="1"/>
  <c r="U87" i="43"/>
  <c r="W87" i="43"/>
  <c r="A88" i="43"/>
  <c r="B88" i="43"/>
  <c r="C88" i="43"/>
  <c r="D88" i="43"/>
  <c r="V85" i="43" s="1"/>
  <c r="E88" i="43"/>
  <c r="F88" i="43"/>
  <c r="G88" i="43"/>
  <c r="H88" i="43"/>
  <c r="I88" i="43"/>
  <c r="J88" i="43"/>
  <c r="U88" i="43"/>
  <c r="V88" i="43"/>
  <c r="W88" i="43"/>
  <c r="A89" i="43"/>
  <c r="B89" i="43"/>
  <c r="C89" i="43"/>
  <c r="T86" i="43" s="1"/>
  <c r="D89" i="43"/>
  <c r="V86" i="43" s="1"/>
  <c r="G89" i="43"/>
  <c r="I89" i="43"/>
  <c r="U89" i="43"/>
  <c r="V89" i="43"/>
  <c r="W89" i="43"/>
  <c r="A90" i="43"/>
  <c r="B90" i="43"/>
  <c r="C90" i="43"/>
  <c r="T87" i="43" s="1"/>
  <c r="D90" i="43"/>
  <c r="V87" i="43" s="1"/>
  <c r="E90" i="43"/>
  <c r="F90" i="43"/>
  <c r="G90" i="43"/>
  <c r="H90" i="43"/>
  <c r="J90" i="43" s="1"/>
  <c r="U90" i="43"/>
  <c r="V90" i="43"/>
  <c r="W90" i="43"/>
  <c r="A91" i="43"/>
  <c r="B91" i="43"/>
  <c r="C91" i="43"/>
  <c r="T88" i="43" s="1"/>
  <c r="D91" i="43"/>
  <c r="E91" i="43"/>
  <c r="F91" i="43"/>
  <c r="G91" i="43"/>
  <c r="H91" i="43"/>
  <c r="J91" i="43" s="1"/>
  <c r="I91" i="43"/>
  <c r="A92" i="43"/>
  <c r="B92" i="43"/>
  <c r="C92" i="43"/>
  <c r="T89" i="43" s="1"/>
  <c r="D92" i="43"/>
  <c r="A93" i="43"/>
  <c r="B93" i="43"/>
  <c r="C93" i="43"/>
  <c r="T90" i="43" s="1"/>
  <c r="D93" i="43"/>
  <c r="E93" i="43"/>
  <c r="F93" i="43"/>
  <c r="G93" i="43"/>
  <c r="H93" i="43"/>
  <c r="I93" i="43"/>
  <c r="J93" i="43"/>
  <c r="Z4" i="42"/>
  <c r="Q5" i="42"/>
  <c r="Z5" i="42"/>
  <c r="C6" i="42"/>
  <c r="Q6" i="42"/>
  <c r="Z6" i="42"/>
  <c r="Q7" i="42"/>
  <c r="B93" i="42" s="1"/>
  <c r="Z7" i="42"/>
  <c r="B35" i="42" s="1"/>
  <c r="Z8" i="42"/>
  <c r="AH9" i="42"/>
  <c r="AH11" i="42"/>
  <c r="A12" i="42"/>
  <c r="E12" i="42"/>
  <c r="F12" i="42" s="1"/>
  <c r="C88" i="42" s="1"/>
  <c r="T85" i="42" s="1"/>
  <c r="I12" i="42"/>
  <c r="L12" i="42"/>
  <c r="O12" i="42"/>
  <c r="P12" i="42"/>
  <c r="Q12" i="42"/>
  <c r="R12" i="42" s="1"/>
  <c r="V12" i="42"/>
  <c r="E13" i="42"/>
  <c r="I13" i="42"/>
  <c r="L13" i="42"/>
  <c r="O13" i="42"/>
  <c r="P13" i="42"/>
  <c r="Q13" i="42"/>
  <c r="R13" i="42" s="1"/>
  <c r="T13" i="42"/>
  <c r="V13" i="42"/>
  <c r="AH13" i="42"/>
  <c r="E14" i="42"/>
  <c r="F14" i="42" s="1"/>
  <c r="I14" i="42"/>
  <c r="L14" i="42"/>
  <c r="O14" i="42"/>
  <c r="P14" i="42"/>
  <c r="Q14" i="42"/>
  <c r="R14" i="42"/>
  <c r="T14" i="42"/>
  <c r="V14" i="42"/>
  <c r="AH14" i="42"/>
  <c r="E15" i="42"/>
  <c r="F15" i="42" s="1"/>
  <c r="I15" i="42"/>
  <c r="L15" i="42"/>
  <c r="O15" i="42"/>
  <c r="P15" i="42"/>
  <c r="T15" i="42" s="1"/>
  <c r="Q15" i="42"/>
  <c r="R15" i="42" s="1"/>
  <c r="V15" i="42"/>
  <c r="AH15" i="42"/>
  <c r="E16" i="42"/>
  <c r="F16" i="42"/>
  <c r="I16" i="42"/>
  <c r="L16" i="42"/>
  <c r="O16" i="42"/>
  <c r="P16" i="42"/>
  <c r="Q16" i="42" s="1"/>
  <c r="R16" i="42" s="1"/>
  <c r="T16" i="42"/>
  <c r="V16" i="42"/>
  <c r="AH16" i="42"/>
  <c r="E17" i="42"/>
  <c r="F17" i="42" s="1"/>
  <c r="I17" i="42"/>
  <c r="L17" i="42"/>
  <c r="O17" i="42"/>
  <c r="P17" i="42"/>
  <c r="T17" i="42" s="1"/>
  <c r="Q17" i="42"/>
  <c r="R17" i="42" s="1"/>
  <c r="V17" i="42"/>
  <c r="A19" i="42"/>
  <c r="Q19" i="42" s="1"/>
  <c r="R19" i="42" s="1"/>
  <c r="E19" i="42"/>
  <c r="I19" i="42"/>
  <c r="L19" i="42"/>
  <c r="O19" i="42"/>
  <c r="P19" i="42"/>
  <c r="V19" i="42"/>
  <c r="E20" i="42"/>
  <c r="F20" i="42"/>
  <c r="I20" i="42"/>
  <c r="L20" i="42"/>
  <c r="O20" i="42"/>
  <c r="P20" i="42"/>
  <c r="Q20" i="42"/>
  <c r="R20" i="42" s="1"/>
  <c r="T20" i="42"/>
  <c r="V20" i="42"/>
  <c r="AH20" i="42"/>
  <c r="E21" i="42"/>
  <c r="F21" i="42" s="1"/>
  <c r="I21" i="42"/>
  <c r="L21" i="42"/>
  <c r="O21" i="42"/>
  <c r="P21" i="42"/>
  <c r="Q21" i="42"/>
  <c r="R21" i="42"/>
  <c r="T21" i="42"/>
  <c r="V21" i="42"/>
  <c r="AH21" i="42"/>
  <c r="E22" i="42"/>
  <c r="I22" i="42"/>
  <c r="L22" i="42"/>
  <c r="O22" i="42"/>
  <c r="P22" i="42"/>
  <c r="Q22" i="42" s="1"/>
  <c r="R22" i="42" s="1"/>
  <c r="V22" i="42"/>
  <c r="AH22" i="42"/>
  <c r="E23" i="42"/>
  <c r="F23" i="42"/>
  <c r="I23" i="42"/>
  <c r="L23" i="42"/>
  <c r="O23" i="42"/>
  <c r="P23" i="42"/>
  <c r="Q23" i="42" s="1"/>
  <c r="R23" i="42" s="1"/>
  <c r="T23" i="42"/>
  <c r="V23" i="42"/>
  <c r="AH23" i="42"/>
  <c r="E24" i="42"/>
  <c r="I24" i="42"/>
  <c r="L24" i="42"/>
  <c r="O24" i="42"/>
  <c r="P24" i="42"/>
  <c r="T24" i="42" s="1"/>
  <c r="Q24" i="42"/>
  <c r="R24" i="42" s="1"/>
  <c r="V24" i="42"/>
  <c r="A26" i="42"/>
  <c r="B26" i="42"/>
  <c r="E26" i="42"/>
  <c r="F26" i="42"/>
  <c r="E88" i="42" s="1"/>
  <c r="P26" i="42"/>
  <c r="Q26" i="42"/>
  <c r="R26" i="42" s="1"/>
  <c r="B27" i="42"/>
  <c r="E27" i="42"/>
  <c r="F27" i="42"/>
  <c r="P27" i="42"/>
  <c r="Q27" i="42" s="1"/>
  <c r="R27" i="42" s="1"/>
  <c r="T27" i="42"/>
  <c r="AH27" i="42"/>
  <c r="B28" i="42"/>
  <c r="E28" i="42"/>
  <c r="F28" i="42" s="1"/>
  <c r="E90" i="42" s="1"/>
  <c r="P28" i="42"/>
  <c r="T28" i="42" s="1"/>
  <c r="Q28" i="42"/>
  <c r="R28" i="42" s="1"/>
  <c r="AH28" i="42"/>
  <c r="B29" i="42"/>
  <c r="E29" i="42"/>
  <c r="F29" i="42" s="1"/>
  <c r="E91" i="42" s="1"/>
  <c r="P29" i="42"/>
  <c r="Q29" i="42" s="1"/>
  <c r="R29" i="42" s="1"/>
  <c r="AH29" i="42"/>
  <c r="B30" i="42"/>
  <c r="E30" i="42"/>
  <c r="F30" i="42" s="1"/>
  <c r="E92" i="42" s="1"/>
  <c r="P30" i="42"/>
  <c r="Q30" i="42"/>
  <c r="T30" i="42"/>
  <c r="AH30" i="42"/>
  <c r="B31" i="42"/>
  <c r="E31" i="42"/>
  <c r="F31" i="42" s="1"/>
  <c r="E93" i="42" s="1"/>
  <c r="P31" i="42"/>
  <c r="Q31" i="42" s="1"/>
  <c r="R31" i="42" s="1"/>
  <c r="A33" i="42"/>
  <c r="E33" i="42"/>
  <c r="F33" i="42"/>
  <c r="F88" i="42" s="1"/>
  <c r="E34" i="42"/>
  <c r="F34" i="42"/>
  <c r="F89" i="42" s="1"/>
  <c r="AH34" i="42"/>
  <c r="E35" i="42"/>
  <c r="AH35" i="42"/>
  <c r="E36" i="42"/>
  <c r="AH36" i="42"/>
  <c r="E37" i="42"/>
  <c r="F37" i="42" s="1"/>
  <c r="F92" i="42" s="1"/>
  <c r="AH37" i="42"/>
  <c r="E38" i="42"/>
  <c r="F38" i="42" s="1"/>
  <c r="F93" i="42" s="1"/>
  <c r="K38" i="42"/>
  <c r="A40" i="42"/>
  <c r="B40" i="42"/>
  <c r="E40" i="42"/>
  <c r="F40" i="42"/>
  <c r="G88" i="42" s="1"/>
  <c r="B41" i="42"/>
  <c r="E41" i="42"/>
  <c r="F41" i="42" s="1"/>
  <c r="G89" i="42" s="1"/>
  <c r="AH41" i="42"/>
  <c r="B42" i="42"/>
  <c r="E42" i="42"/>
  <c r="F42" i="42" s="1"/>
  <c r="G90" i="42" s="1"/>
  <c r="AH42" i="42"/>
  <c r="B43" i="42"/>
  <c r="E43" i="42"/>
  <c r="F43" i="42"/>
  <c r="AH43" i="42"/>
  <c r="B44" i="42"/>
  <c r="E44" i="42"/>
  <c r="F44" i="42" s="1"/>
  <c r="G92" i="42" s="1"/>
  <c r="AH44" i="42"/>
  <c r="B45" i="42"/>
  <c r="E45" i="42"/>
  <c r="F45" i="42" s="1"/>
  <c r="G93" i="42" s="1"/>
  <c r="A47" i="42"/>
  <c r="B47" i="42"/>
  <c r="E47" i="42"/>
  <c r="F47" i="42"/>
  <c r="H88" i="42" s="1"/>
  <c r="J88" i="42" s="1"/>
  <c r="B48" i="42"/>
  <c r="E48" i="42"/>
  <c r="F48" i="42"/>
  <c r="H89" i="42" s="1"/>
  <c r="J89" i="42" s="1"/>
  <c r="AH48" i="42"/>
  <c r="B49" i="42"/>
  <c r="E49" i="42"/>
  <c r="F49" i="42" s="1"/>
  <c r="H90" i="42" s="1"/>
  <c r="J90" i="42" s="1"/>
  <c r="AH49" i="42"/>
  <c r="B50" i="42"/>
  <c r="E50" i="42"/>
  <c r="AH50" i="42"/>
  <c r="B51" i="42"/>
  <c r="E51" i="42"/>
  <c r="F51" i="42" s="1"/>
  <c r="H92" i="42" s="1"/>
  <c r="J92" i="42" s="1"/>
  <c r="AH51" i="42"/>
  <c r="B52" i="42"/>
  <c r="E52" i="42"/>
  <c r="A54" i="42"/>
  <c r="B54" i="42"/>
  <c r="E54" i="42"/>
  <c r="F54" i="42"/>
  <c r="I88" i="42" s="1"/>
  <c r="B55" i="42"/>
  <c r="E55" i="42"/>
  <c r="F55" i="42"/>
  <c r="I89" i="42" s="1"/>
  <c r="B56" i="42"/>
  <c r="B57" i="42" s="1"/>
  <c r="B58" i="42" s="1"/>
  <c r="B59" i="42" s="1"/>
  <c r="E56" i="42"/>
  <c r="F56" i="42" s="1"/>
  <c r="I90" i="42" s="1"/>
  <c r="E57" i="42"/>
  <c r="E58" i="42"/>
  <c r="F58" i="42" s="1"/>
  <c r="I92" i="42" s="1"/>
  <c r="E59" i="42"/>
  <c r="E65" i="42" s="1"/>
  <c r="F59" i="42"/>
  <c r="E64" i="42"/>
  <c r="S65" i="42"/>
  <c r="T65" i="42"/>
  <c r="U65" i="42"/>
  <c r="W65" i="42"/>
  <c r="X65" i="42"/>
  <c r="Y65" i="42"/>
  <c r="R66" i="42"/>
  <c r="S66" i="42"/>
  <c r="T66" i="42"/>
  <c r="U66" i="42"/>
  <c r="R67" i="42"/>
  <c r="S67" i="42"/>
  <c r="T67" i="42"/>
  <c r="U67" i="42"/>
  <c r="I68" i="42"/>
  <c r="I70" i="42" s="1"/>
  <c r="R68" i="42"/>
  <c r="S68" i="42"/>
  <c r="T68" i="42"/>
  <c r="R69" i="42"/>
  <c r="S69" i="42"/>
  <c r="T69" i="42"/>
  <c r="U69" i="42"/>
  <c r="R70" i="42"/>
  <c r="S70" i="42"/>
  <c r="T70" i="42"/>
  <c r="U70" i="42"/>
  <c r="R71" i="42"/>
  <c r="S71" i="42"/>
  <c r="T71" i="42"/>
  <c r="U85" i="42"/>
  <c r="W85" i="42"/>
  <c r="U86" i="42"/>
  <c r="W86" i="42"/>
  <c r="C87" i="42"/>
  <c r="D87" i="42"/>
  <c r="E87" i="42"/>
  <c r="G87" i="42"/>
  <c r="H87" i="42"/>
  <c r="I87" i="42"/>
  <c r="J87" i="42"/>
  <c r="U87" i="42"/>
  <c r="W87" i="42"/>
  <c r="A88" i="42"/>
  <c r="T88" i="42"/>
  <c r="U88" i="42"/>
  <c r="W88" i="42"/>
  <c r="A89" i="42"/>
  <c r="C89" i="42"/>
  <c r="T86" i="42" s="1"/>
  <c r="D89" i="42"/>
  <c r="V86" i="42" s="1"/>
  <c r="E89" i="42"/>
  <c r="U89" i="42"/>
  <c r="W89" i="42"/>
  <c r="A90" i="42"/>
  <c r="C90" i="42"/>
  <c r="T87" i="42" s="1"/>
  <c r="D90" i="42"/>
  <c r="V87" i="42" s="1"/>
  <c r="T90" i="42"/>
  <c r="U90" i="42"/>
  <c r="V90" i="42"/>
  <c r="W90" i="42"/>
  <c r="A91" i="42"/>
  <c r="C91" i="42"/>
  <c r="D91" i="42"/>
  <c r="V88" i="42" s="1"/>
  <c r="G91" i="42"/>
  <c r="A92" i="42"/>
  <c r="C92" i="42"/>
  <c r="T89" i="42" s="1"/>
  <c r="D92" i="42"/>
  <c r="V89" i="42" s="1"/>
  <c r="A93" i="42"/>
  <c r="C93" i="42"/>
  <c r="D93" i="42"/>
  <c r="I93" i="42"/>
  <c r="Z4" i="41"/>
  <c r="Q5" i="41"/>
  <c r="Z5" i="41"/>
  <c r="C6" i="41"/>
  <c r="Q6" i="41"/>
  <c r="Z6" i="41"/>
  <c r="Q7" i="41"/>
  <c r="F41" i="41" s="1"/>
  <c r="G89" i="41" s="1"/>
  <c r="Z7" i="41"/>
  <c r="Z8" i="41"/>
  <c r="AH9" i="41"/>
  <c r="AH11" i="41"/>
  <c r="A12" i="41"/>
  <c r="E12" i="41"/>
  <c r="I12" i="41"/>
  <c r="L12" i="41"/>
  <c r="O12" i="41"/>
  <c r="P12" i="41"/>
  <c r="Q12" i="41" s="1"/>
  <c r="R12" i="41" s="1"/>
  <c r="V12" i="41"/>
  <c r="A13" i="41"/>
  <c r="Q13" i="41" s="1"/>
  <c r="R13" i="41" s="1"/>
  <c r="E13" i="41"/>
  <c r="I13" i="41"/>
  <c r="L13" i="41"/>
  <c r="O13" i="41"/>
  <c r="P13" i="41"/>
  <c r="T13" i="41"/>
  <c r="V13" i="41"/>
  <c r="AH13" i="41"/>
  <c r="A14" i="41"/>
  <c r="E14" i="41"/>
  <c r="I14" i="41"/>
  <c r="L14" i="41"/>
  <c r="O14" i="41"/>
  <c r="P14" i="41"/>
  <c r="V14" i="41"/>
  <c r="AH14" i="41"/>
  <c r="A15" i="41"/>
  <c r="Q15" i="41" s="1"/>
  <c r="R15" i="41" s="1"/>
  <c r="E15" i="41"/>
  <c r="F15" i="41" s="1"/>
  <c r="I15" i="41"/>
  <c r="L15" i="41"/>
  <c r="O15" i="41"/>
  <c r="P15" i="41"/>
  <c r="T15" i="41"/>
  <c r="V15" i="41"/>
  <c r="AH15" i="41"/>
  <c r="A16" i="41"/>
  <c r="E16" i="41"/>
  <c r="I16" i="41"/>
  <c r="L16" i="41"/>
  <c r="O16" i="41"/>
  <c r="P16" i="41"/>
  <c r="V16" i="41"/>
  <c r="AH16" i="41"/>
  <c r="A17" i="41"/>
  <c r="Q17" i="41" s="1"/>
  <c r="R17" i="41" s="1"/>
  <c r="E17" i="41"/>
  <c r="C93" i="41" s="1"/>
  <c r="I17" i="41"/>
  <c r="L17" i="41"/>
  <c r="O17" i="41"/>
  <c r="P17" i="41"/>
  <c r="T17" i="41"/>
  <c r="V17" i="41"/>
  <c r="A19" i="41"/>
  <c r="E19" i="41"/>
  <c r="I19" i="41"/>
  <c r="L19" i="41"/>
  <c r="O19" i="41"/>
  <c r="P19" i="41"/>
  <c r="Q19" i="41"/>
  <c r="R19" i="41" s="1"/>
  <c r="V19" i="41"/>
  <c r="A20" i="41"/>
  <c r="E20" i="41"/>
  <c r="D89" i="41" s="1"/>
  <c r="V86" i="41" s="1"/>
  <c r="I20" i="41"/>
  <c r="L20" i="41"/>
  <c r="O20" i="41"/>
  <c r="P20" i="41"/>
  <c r="Q20" i="41" s="1"/>
  <c r="R20" i="41" s="1"/>
  <c r="T20" i="41"/>
  <c r="V20" i="41"/>
  <c r="AH20" i="41"/>
  <c r="A21" i="41"/>
  <c r="Q21" i="41" s="1"/>
  <c r="R21" i="41" s="1"/>
  <c r="E21" i="41"/>
  <c r="I21" i="41"/>
  <c r="L21" i="41"/>
  <c r="O21" i="41"/>
  <c r="P21" i="41"/>
  <c r="T21" i="41"/>
  <c r="V21" i="41"/>
  <c r="AH21" i="41"/>
  <c r="A22" i="41"/>
  <c r="Q22" i="41" s="1"/>
  <c r="R22" i="41" s="1"/>
  <c r="E22" i="41"/>
  <c r="I22" i="41"/>
  <c r="L22" i="41"/>
  <c r="O22" i="41"/>
  <c r="P22" i="41"/>
  <c r="T22" i="41"/>
  <c r="V22" i="41"/>
  <c r="AH22" i="41"/>
  <c r="A23" i="41"/>
  <c r="E23" i="41"/>
  <c r="I23" i="41"/>
  <c r="L23" i="41"/>
  <c r="O23" i="41"/>
  <c r="P23" i="41"/>
  <c r="Q23" i="41"/>
  <c r="R23" i="41"/>
  <c r="T23" i="41"/>
  <c r="V23" i="41"/>
  <c r="AH23" i="41"/>
  <c r="A24" i="41"/>
  <c r="Q24" i="41" s="1"/>
  <c r="R24" i="41" s="1"/>
  <c r="E24" i="41"/>
  <c r="I24" i="41"/>
  <c r="L24" i="41"/>
  <c r="O24" i="41"/>
  <c r="P24" i="41"/>
  <c r="T24" i="41"/>
  <c r="V24" i="41"/>
  <c r="A26" i="41"/>
  <c r="E26" i="41"/>
  <c r="P26" i="41"/>
  <c r="Q26" i="41"/>
  <c r="R26" i="41" s="1"/>
  <c r="A27" i="41"/>
  <c r="E27" i="41"/>
  <c r="L27" i="41"/>
  <c r="O27" i="41"/>
  <c r="P27" i="41"/>
  <c r="T27" i="41" s="1"/>
  <c r="Q27" i="41"/>
  <c r="R27" i="41" s="1"/>
  <c r="AH27" i="41"/>
  <c r="A28" i="41"/>
  <c r="E28" i="41"/>
  <c r="R28" i="41" s="1"/>
  <c r="I28" i="41"/>
  <c r="P28" i="41"/>
  <c r="Q28" i="41"/>
  <c r="T28" i="41"/>
  <c r="AH28" i="41"/>
  <c r="A29" i="41"/>
  <c r="E29" i="41"/>
  <c r="L29" i="41"/>
  <c r="O29" i="41"/>
  <c r="P29" i="41"/>
  <c r="Q29" i="41"/>
  <c r="R29" i="41" s="1"/>
  <c r="AH29" i="41"/>
  <c r="A30" i="41"/>
  <c r="E30" i="41"/>
  <c r="R30" i="41" s="1"/>
  <c r="I30" i="41"/>
  <c r="P30" i="41"/>
  <c r="Q30" i="41"/>
  <c r="T30" i="41"/>
  <c r="AH30" i="41"/>
  <c r="A31" i="41"/>
  <c r="E31" i="41"/>
  <c r="L31" i="41"/>
  <c r="O31" i="41"/>
  <c r="P31" i="41"/>
  <c r="Q31" i="41"/>
  <c r="R31" i="41" s="1"/>
  <c r="A33" i="41"/>
  <c r="E33" i="41"/>
  <c r="F33" i="41" s="1"/>
  <c r="F88" i="41" s="1"/>
  <c r="I33" i="41"/>
  <c r="L33" i="41"/>
  <c r="A34" i="41"/>
  <c r="E34" i="41"/>
  <c r="F34" i="41"/>
  <c r="F89" i="41" s="1"/>
  <c r="AH34" i="41"/>
  <c r="A35" i="41"/>
  <c r="E35" i="41"/>
  <c r="I35" i="41"/>
  <c r="L35" i="41"/>
  <c r="O35" i="41"/>
  <c r="AH35" i="41"/>
  <c r="A36" i="41"/>
  <c r="E36" i="41"/>
  <c r="AH36" i="41"/>
  <c r="A37" i="41"/>
  <c r="E37" i="41"/>
  <c r="I37" i="41"/>
  <c r="L37" i="41"/>
  <c r="O37" i="41"/>
  <c r="AH37" i="41"/>
  <c r="A38" i="41"/>
  <c r="E38" i="41"/>
  <c r="F38" i="41" s="1"/>
  <c r="F93" i="41" s="1"/>
  <c r="A40" i="41"/>
  <c r="B40" i="41"/>
  <c r="E40" i="41"/>
  <c r="L40" i="41"/>
  <c r="O40" i="41"/>
  <c r="A41" i="41"/>
  <c r="B41" i="41"/>
  <c r="E41" i="41"/>
  <c r="I41" i="41"/>
  <c r="L41" i="41"/>
  <c r="O41" i="41"/>
  <c r="AH41" i="41"/>
  <c r="A42" i="41"/>
  <c r="B42" i="41"/>
  <c r="E42" i="41"/>
  <c r="AH42" i="41"/>
  <c r="A43" i="41"/>
  <c r="B43" i="41"/>
  <c r="E43" i="41"/>
  <c r="I43" i="41"/>
  <c r="L43" i="41"/>
  <c r="O43" i="41"/>
  <c r="AH43" i="41"/>
  <c r="A44" i="41"/>
  <c r="B44" i="41"/>
  <c r="E44" i="41"/>
  <c r="AH44" i="41"/>
  <c r="A45" i="41"/>
  <c r="B45" i="41"/>
  <c r="E45" i="41"/>
  <c r="I45" i="41"/>
  <c r="L45" i="41"/>
  <c r="O45" i="41"/>
  <c r="A47" i="41"/>
  <c r="B47" i="41"/>
  <c r="X65" i="41" s="1"/>
  <c r="E47" i="41"/>
  <c r="A48" i="41"/>
  <c r="B48" i="41"/>
  <c r="E48" i="41"/>
  <c r="O48" i="41"/>
  <c r="AH48" i="41"/>
  <c r="A49" i="41"/>
  <c r="B49" i="41"/>
  <c r="E49" i="41"/>
  <c r="F49" i="41"/>
  <c r="H90" i="41" s="1"/>
  <c r="J90" i="41" s="1"/>
  <c r="I49" i="41"/>
  <c r="L49" i="41"/>
  <c r="AH49" i="41"/>
  <c r="A50" i="41"/>
  <c r="B50" i="41"/>
  <c r="E50" i="41"/>
  <c r="O50" i="41"/>
  <c r="AH50" i="41"/>
  <c r="A51" i="41"/>
  <c r="B51" i="41"/>
  <c r="E51" i="41"/>
  <c r="F51" i="41"/>
  <c r="H92" i="41" s="1"/>
  <c r="J92" i="41" s="1"/>
  <c r="I51" i="41"/>
  <c r="L51" i="41"/>
  <c r="AH51" i="41"/>
  <c r="A52" i="41"/>
  <c r="B52" i="41"/>
  <c r="E52" i="41"/>
  <c r="O52" i="41"/>
  <c r="A54" i="41"/>
  <c r="B54" i="41"/>
  <c r="E54" i="41"/>
  <c r="F54" i="41"/>
  <c r="I88" i="41" s="1"/>
  <c r="I54" i="41"/>
  <c r="L54" i="41"/>
  <c r="O54" i="41"/>
  <c r="A55" i="41"/>
  <c r="B55" i="41"/>
  <c r="B56" i="41" s="1"/>
  <c r="B57" i="41" s="1"/>
  <c r="B58" i="41" s="1"/>
  <c r="B59" i="41" s="1"/>
  <c r="E55" i="41"/>
  <c r="I55" i="41"/>
  <c r="A56" i="41"/>
  <c r="E56" i="41"/>
  <c r="O56" i="41"/>
  <c r="A57" i="41"/>
  <c r="E57" i="41"/>
  <c r="I57" i="41"/>
  <c r="L57" i="41"/>
  <c r="O57" i="41"/>
  <c r="A58" i="41"/>
  <c r="E58" i="41"/>
  <c r="A59" i="41"/>
  <c r="E59" i="41"/>
  <c r="F59" i="41" s="1"/>
  <c r="I93" i="41" s="1"/>
  <c r="L59" i="41"/>
  <c r="O59" i="41"/>
  <c r="E65" i="41"/>
  <c r="S65" i="41"/>
  <c r="T65" i="41"/>
  <c r="W65" i="41"/>
  <c r="Y65" i="41"/>
  <c r="R66" i="41"/>
  <c r="S66" i="41"/>
  <c r="T66" i="41"/>
  <c r="U66" i="41"/>
  <c r="R67" i="41"/>
  <c r="S67" i="41"/>
  <c r="T67" i="41"/>
  <c r="W86" i="41" s="1"/>
  <c r="I68" i="41"/>
  <c r="R68" i="41"/>
  <c r="S68" i="41"/>
  <c r="U87" i="41" s="1"/>
  <c r="T68" i="41"/>
  <c r="U68" i="41"/>
  <c r="R69" i="41"/>
  <c r="S69" i="41"/>
  <c r="U88" i="41" s="1"/>
  <c r="T69" i="41"/>
  <c r="U69" i="41"/>
  <c r="I70" i="41"/>
  <c r="L28" i="41" s="1"/>
  <c r="R70" i="41"/>
  <c r="S70" i="41"/>
  <c r="U89" i="41" s="1"/>
  <c r="T70" i="41"/>
  <c r="W89" i="41" s="1"/>
  <c r="U70" i="41"/>
  <c r="R71" i="41"/>
  <c r="S71" i="41"/>
  <c r="U90" i="41" s="1"/>
  <c r="T71" i="41"/>
  <c r="W90" i="41" s="1"/>
  <c r="U71" i="41"/>
  <c r="U85" i="41"/>
  <c r="W85" i="41"/>
  <c r="T86" i="41"/>
  <c r="U86" i="41"/>
  <c r="C87" i="41"/>
  <c r="D87" i="41"/>
  <c r="G87" i="41"/>
  <c r="I87" i="41"/>
  <c r="W87" i="41"/>
  <c r="A88" i="41"/>
  <c r="W88" i="41"/>
  <c r="A89" i="41"/>
  <c r="B89" i="41"/>
  <c r="C89" i="41"/>
  <c r="A90" i="41"/>
  <c r="B90" i="41"/>
  <c r="C90" i="41"/>
  <c r="T87" i="41" s="1"/>
  <c r="T90" i="41"/>
  <c r="A91" i="41"/>
  <c r="B91" i="41"/>
  <c r="C91" i="41"/>
  <c r="T88" i="41" s="1"/>
  <c r="D91" i="41"/>
  <c r="V88" i="41" s="1"/>
  <c r="A92" i="41"/>
  <c r="C92" i="41"/>
  <c r="T89" i="41" s="1"/>
  <c r="A93" i="41"/>
  <c r="D93" i="41"/>
  <c r="V90" i="41" s="1"/>
  <c r="Z4" i="40"/>
  <c r="Q5" i="40"/>
  <c r="Z5" i="40"/>
  <c r="C6" i="40"/>
  <c r="Q6" i="40"/>
  <c r="Z6" i="40"/>
  <c r="Q7" i="40"/>
  <c r="F12" i="40" s="1"/>
  <c r="C88" i="40" s="1"/>
  <c r="T85" i="40" s="1"/>
  <c r="Z7" i="40"/>
  <c r="B35" i="40" s="1"/>
  <c r="Z8" i="40"/>
  <c r="AH9" i="40"/>
  <c r="AH11" i="40"/>
  <c r="A12" i="40"/>
  <c r="E12" i="40"/>
  <c r="I12" i="40"/>
  <c r="L12" i="40"/>
  <c r="O12" i="40"/>
  <c r="P12" i="40"/>
  <c r="Q12" i="40" s="1"/>
  <c r="R12" i="40" s="1"/>
  <c r="V12" i="40"/>
  <c r="A13" i="40"/>
  <c r="E13" i="40"/>
  <c r="F13" i="40"/>
  <c r="I13" i="40"/>
  <c r="L13" i="40"/>
  <c r="O13" i="40"/>
  <c r="P13" i="40"/>
  <c r="Q13" i="40" s="1"/>
  <c r="R13" i="40" s="1"/>
  <c r="T13" i="40"/>
  <c r="V13" i="40"/>
  <c r="AH13" i="40"/>
  <c r="A14" i="40"/>
  <c r="E14" i="40"/>
  <c r="F14" i="40" s="1"/>
  <c r="I14" i="40"/>
  <c r="L14" i="40"/>
  <c r="O14" i="40"/>
  <c r="P14" i="40"/>
  <c r="Q14" i="40" s="1"/>
  <c r="R14" i="40" s="1"/>
  <c r="V14" i="40"/>
  <c r="AH14" i="40"/>
  <c r="A15" i="40"/>
  <c r="Q15" i="40" s="1"/>
  <c r="R15" i="40" s="1"/>
  <c r="E15" i="40"/>
  <c r="F15" i="40"/>
  <c r="I15" i="40"/>
  <c r="L15" i="40"/>
  <c r="O15" i="40"/>
  <c r="P15" i="40"/>
  <c r="T15" i="40"/>
  <c r="V15" i="40"/>
  <c r="AH15" i="40"/>
  <c r="A16" i="40"/>
  <c r="E16" i="40"/>
  <c r="F16" i="40" s="1"/>
  <c r="I16" i="40"/>
  <c r="L16" i="40"/>
  <c r="O16" i="40"/>
  <c r="P16" i="40"/>
  <c r="Q16" i="40" s="1"/>
  <c r="R16" i="40" s="1"/>
  <c r="V16" i="40"/>
  <c r="AH16" i="40"/>
  <c r="A17" i="40"/>
  <c r="Q17" i="40" s="1"/>
  <c r="R17" i="40" s="1"/>
  <c r="E17" i="40"/>
  <c r="F17" i="40"/>
  <c r="I17" i="40"/>
  <c r="L17" i="40"/>
  <c r="O17" i="40"/>
  <c r="P17" i="40"/>
  <c r="T17" i="40"/>
  <c r="V17" i="40"/>
  <c r="A19" i="40"/>
  <c r="E19" i="40"/>
  <c r="F19" i="40" s="1"/>
  <c r="D88" i="40" s="1"/>
  <c r="V85" i="40" s="1"/>
  <c r="I19" i="40"/>
  <c r="L19" i="40"/>
  <c r="O19" i="40"/>
  <c r="P19" i="40"/>
  <c r="Q19" i="40"/>
  <c r="R19" i="40" s="1"/>
  <c r="V19" i="40"/>
  <c r="A20" i="40"/>
  <c r="E20" i="40"/>
  <c r="F20" i="40" s="1"/>
  <c r="I20" i="40"/>
  <c r="L20" i="40"/>
  <c r="O20" i="40"/>
  <c r="P20" i="40"/>
  <c r="T20" i="40" s="1"/>
  <c r="Q20" i="40"/>
  <c r="R20" i="40" s="1"/>
  <c r="V20" i="40"/>
  <c r="AH20" i="40"/>
  <c r="A21" i="40"/>
  <c r="E21" i="40"/>
  <c r="F21" i="40" s="1"/>
  <c r="I21" i="40"/>
  <c r="L21" i="40"/>
  <c r="O21" i="40"/>
  <c r="P21" i="40"/>
  <c r="Q21" i="40"/>
  <c r="R21" i="40" s="1"/>
  <c r="T21" i="40"/>
  <c r="V21" i="40"/>
  <c r="AH21" i="40"/>
  <c r="A22" i="40"/>
  <c r="E22" i="40"/>
  <c r="F22" i="40" s="1"/>
  <c r="I22" i="40"/>
  <c r="L22" i="40"/>
  <c r="O22" i="40"/>
  <c r="P22" i="40"/>
  <c r="Q22" i="40"/>
  <c r="R22" i="40" s="1"/>
  <c r="T22" i="40"/>
  <c r="V22" i="40"/>
  <c r="AH22" i="40"/>
  <c r="A23" i="40"/>
  <c r="Q23" i="40" s="1"/>
  <c r="R23" i="40" s="1"/>
  <c r="E23" i="40"/>
  <c r="F23" i="40" s="1"/>
  <c r="I23" i="40"/>
  <c r="L23" i="40"/>
  <c r="O23" i="40"/>
  <c r="P23" i="40"/>
  <c r="T23" i="40"/>
  <c r="V23" i="40"/>
  <c r="AH23" i="40"/>
  <c r="A24" i="40"/>
  <c r="E24" i="40"/>
  <c r="F24" i="40" s="1"/>
  <c r="I24" i="40"/>
  <c r="L24" i="40"/>
  <c r="O24" i="40"/>
  <c r="P24" i="40"/>
  <c r="Q24" i="40" s="1"/>
  <c r="R24" i="40" s="1"/>
  <c r="V24" i="40"/>
  <c r="A26" i="40"/>
  <c r="B26" i="40"/>
  <c r="E26" i="40"/>
  <c r="F26" i="40" s="1"/>
  <c r="E88" i="40" s="1"/>
  <c r="P26" i="40"/>
  <c r="Q26" i="40"/>
  <c r="R26" i="40" s="1"/>
  <c r="A27" i="40"/>
  <c r="B27" i="40"/>
  <c r="E27" i="40"/>
  <c r="F27" i="40" s="1"/>
  <c r="E89" i="40" s="1"/>
  <c r="P27" i="40"/>
  <c r="T27" i="40" s="1"/>
  <c r="Q27" i="40"/>
  <c r="R27" i="40" s="1"/>
  <c r="AH27" i="40"/>
  <c r="A28" i="40"/>
  <c r="B28" i="40"/>
  <c r="E28" i="40"/>
  <c r="F28" i="40" s="1"/>
  <c r="E90" i="40" s="1"/>
  <c r="P28" i="40"/>
  <c r="Q28" i="40"/>
  <c r="R28" i="40" s="1"/>
  <c r="T28" i="40"/>
  <c r="AH28" i="40"/>
  <c r="A29" i="40"/>
  <c r="B29" i="40"/>
  <c r="E29" i="40"/>
  <c r="F29" i="40" s="1"/>
  <c r="E91" i="40" s="1"/>
  <c r="P29" i="40"/>
  <c r="Q29" i="40"/>
  <c r="R29" i="40" s="1"/>
  <c r="T29" i="40"/>
  <c r="AH29" i="40"/>
  <c r="A30" i="40"/>
  <c r="B30" i="40"/>
  <c r="E30" i="40"/>
  <c r="F30" i="40" s="1"/>
  <c r="E92" i="40" s="1"/>
  <c r="P30" i="40"/>
  <c r="Q30" i="40"/>
  <c r="R30" i="40" s="1"/>
  <c r="T30" i="40"/>
  <c r="AH30" i="40"/>
  <c r="A31" i="40"/>
  <c r="B31" i="40"/>
  <c r="E31" i="40"/>
  <c r="F31" i="40" s="1"/>
  <c r="E93" i="40" s="1"/>
  <c r="P31" i="40"/>
  <c r="Q31" i="40"/>
  <c r="R31" i="40" s="1"/>
  <c r="T31" i="40"/>
  <c r="A33" i="40"/>
  <c r="E33" i="40"/>
  <c r="F33" i="40"/>
  <c r="A34" i="40"/>
  <c r="E34" i="40"/>
  <c r="F34" i="40"/>
  <c r="F89" i="40" s="1"/>
  <c r="AH34" i="40"/>
  <c r="A35" i="40"/>
  <c r="E35" i="40"/>
  <c r="F35" i="40"/>
  <c r="AH35" i="40"/>
  <c r="A36" i="40"/>
  <c r="E36" i="40"/>
  <c r="F36" i="40"/>
  <c r="F91" i="40" s="1"/>
  <c r="AH36" i="40"/>
  <c r="A37" i="40"/>
  <c r="E37" i="40"/>
  <c r="F37" i="40"/>
  <c r="AH37" i="40"/>
  <c r="A38" i="40"/>
  <c r="E38" i="40"/>
  <c r="F38" i="40"/>
  <c r="F93" i="40" s="1"/>
  <c r="A40" i="40"/>
  <c r="B40" i="40"/>
  <c r="E40" i="40"/>
  <c r="F40" i="40" s="1"/>
  <c r="G88" i="40" s="1"/>
  <c r="A41" i="40"/>
  <c r="B41" i="40"/>
  <c r="E41" i="40"/>
  <c r="F41" i="40" s="1"/>
  <c r="G89" i="40" s="1"/>
  <c r="AH41" i="40"/>
  <c r="A42" i="40"/>
  <c r="B42" i="40"/>
  <c r="E42" i="40"/>
  <c r="F42" i="40" s="1"/>
  <c r="G90" i="40" s="1"/>
  <c r="AH42" i="40"/>
  <c r="A43" i="40"/>
  <c r="B43" i="40"/>
  <c r="E43" i="40"/>
  <c r="F43" i="40" s="1"/>
  <c r="G91" i="40" s="1"/>
  <c r="AH43" i="40"/>
  <c r="A44" i="40"/>
  <c r="B44" i="40"/>
  <c r="E44" i="40"/>
  <c r="F44" i="40" s="1"/>
  <c r="G92" i="40" s="1"/>
  <c r="AH44" i="40"/>
  <c r="A45" i="40"/>
  <c r="B45" i="40"/>
  <c r="E45" i="40"/>
  <c r="F45" i="40" s="1"/>
  <c r="G93" i="40" s="1"/>
  <c r="A47" i="40"/>
  <c r="B47" i="40"/>
  <c r="E47" i="40"/>
  <c r="F47" i="40" s="1"/>
  <c r="H88" i="40" s="1"/>
  <c r="J88" i="40" s="1"/>
  <c r="A48" i="40"/>
  <c r="B48" i="40"/>
  <c r="E48" i="40"/>
  <c r="F48" i="40" s="1"/>
  <c r="H89" i="40" s="1"/>
  <c r="J89" i="40" s="1"/>
  <c r="AH48" i="40"/>
  <c r="A49" i="40"/>
  <c r="B49" i="40"/>
  <c r="E49" i="40"/>
  <c r="F49" i="40" s="1"/>
  <c r="H90" i="40" s="1"/>
  <c r="J90" i="40" s="1"/>
  <c r="AH49" i="40"/>
  <c r="A50" i="40"/>
  <c r="B50" i="40"/>
  <c r="E50" i="40"/>
  <c r="F50" i="40" s="1"/>
  <c r="H91" i="40" s="1"/>
  <c r="J91" i="40" s="1"/>
  <c r="AH50" i="40"/>
  <c r="A51" i="40"/>
  <c r="B51" i="40"/>
  <c r="E51" i="40"/>
  <c r="F51" i="40" s="1"/>
  <c r="H92" i="40" s="1"/>
  <c r="J92" i="40" s="1"/>
  <c r="AH51" i="40"/>
  <c r="A52" i="40"/>
  <c r="B52" i="40"/>
  <c r="E52" i="40"/>
  <c r="F52" i="40" s="1"/>
  <c r="H93" i="40" s="1"/>
  <c r="J93" i="40" s="1"/>
  <c r="A54" i="40"/>
  <c r="B54" i="40"/>
  <c r="E54" i="40"/>
  <c r="F54" i="40"/>
  <c r="A55" i="40"/>
  <c r="B55" i="40"/>
  <c r="E55" i="40"/>
  <c r="F55" i="40" s="1"/>
  <c r="I89" i="40" s="1"/>
  <c r="A56" i="40"/>
  <c r="B56" i="40"/>
  <c r="B57" i="40" s="1"/>
  <c r="B58" i="40" s="1"/>
  <c r="B59" i="40" s="1"/>
  <c r="E56" i="40"/>
  <c r="F56" i="40" s="1"/>
  <c r="I90" i="40" s="1"/>
  <c r="A57" i="40"/>
  <c r="E57" i="40"/>
  <c r="F57" i="40"/>
  <c r="A58" i="40"/>
  <c r="E58" i="40"/>
  <c r="F58" i="40"/>
  <c r="A59" i="40"/>
  <c r="E59" i="40"/>
  <c r="F59" i="40" s="1"/>
  <c r="I93" i="40" s="1"/>
  <c r="S65" i="40"/>
  <c r="T65" i="40"/>
  <c r="U65" i="40"/>
  <c r="W65" i="40"/>
  <c r="X65" i="40"/>
  <c r="Y65" i="40"/>
  <c r="R66" i="40"/>
  <c r="S66" i="40"/>
  <c r="T66" i="40"/>
  <c r="U66" i="40"/>
  <c r="R67" i="40"/>
  <c r="S67" i="40"/>
  <c r="T67" i="40"/>
  <c r="U67" i="40"/>
  <c r="I68" i="40"/>
  <c r="I70" i="40" s="1"/>
  <c r="R68" i="40"/>
  <c r="S68" i="40"/>
  <c r="T68" i="40"/>
  <c r="U68" i="40"/>
  <c r="R69" i="40"/>
  <c r="S69" i="40"/>
  <c r="T69" i="40"/>
  <c r="U69" i="40"/>
  <c r="R70" i="40"/>
  <c r="S70" i="40"/>
  <c r="T70" i="40"/>
  <c r="W89" i="40" s="1"/>
  <c r="U70" i="40"/>
  <c r="R71" i="40"/>
  <c r="S71" i="40"/>
  <c r="T71" i="40"/>
  <c r="U71" i="40"/>
  <c r="U85" i="40"/>
  <c r="W85" i="40"/>
  <c r="U86" i="40"/>
  <c r="W86" i="40"/>
  <c r="C87" i="40"/>
  <c r="D87" i="40"/>
  <c r="E87" i="40"/>
  <c r="G87" i="40"/>
  <c r="H87" i="40"/>
  <c r="J87" i="40" s="1"/>
  <c r="I87" i="40"/>
  <c r="T87" i="40"/>
  <c r="U87" i="40"/>
  <c r="W87" i="40"/>
  <c r="A88" i="40"/>
  <c r="B88" i="40"/>
  <c r="F88" i="40"/>
  <c r="I88" i="40"/>
  <c r="U88" i="40"/>
  <c r="W88" i="40"/>
  <c r="A89" i="40"/>
  <c r="B89" i="40"/>
  <c r="C89" i="40"/>
  <c r="T86" i="40" s="1"/>
  <c r="D89" i="40"/>
  <c r="V86" i="40" s="1"/>
  <c r="U89" i="40"/>
  <c r="A90" i="40"/>
  <c r="B90" i="40"/>
  <c r="C90" i="40"/>
  <c r="D90" i="40"/>
  <c r="V87" i="40" s="1"/>
  <c r="F90" i="40"/>
  <c r="T90" i="40"/>
  <c r="U90" i="40"/>
  <c r="W90" i="40"/>
  <c r="A91" i="40"/>
  <c r="B91" i="40"/>
  <c r="C91" i="40"/>
  <c r="T88" i="40" s="1"/>
  <c r="D91" i="40"/>
  <c r="V88" i="40" s="1"/>
  <c r="I91" i="40"/>
  <c r="A92" i="40"/>
  <c r="B92" i="40"/>
  <c r="C92" i="40"/>
  <c r="T89" i="40" s="1"/>
  <c r="F92" i="40"/>
  <c r="I92" i="40"/>
  <c r="A93" i="40"/>
  <c r="B93" i="40"/>
  <c r="C93" i="40"/>
  <c r="D93" i="40"/>
  <c r="V90" i="40" s="1"/>
  <c r="Z4" i="39"/>
  <c r="Q5" i="39"/>
  <c r="Z5" i="39"/>
  <c r="C6" i="39"/>
  <c r="Q6" i="39"/>
  <c r="Q7" i="39" s="1"/>
  <c r="Z6" i="39"/>
  <c r="B28" i="39" s="1"/>
  <c r="Z7" i="39"/>
  <c r="B35" i="39" s="1"/>
  <c r="Z8" i="39"/>
  <c r="AH9" i="39"/>
  <c r="AH11" i="39"/>
  <c r="A12" i="39"/>
  <c r="E12" i="39"/>
  <c r="I12" i="39"/>
  <c r="L12" i="39"/>
  <c r="O12" i="39"/>
  <c r="P12" i="39"/>
  <c r="Q12" i="39" s="1"/>
  <c r="R12" i="39" s="1"/>
  <c r="V12" i="39"/>
  <c r="A13" i="39"/>
  <c r="E13" i="39"/>
  <c r="I13" i="39"/>
  <c r="L13" i="39"/>
  <c r="O13" i="39"/>
  <c r="P13" i="39"/>
  <c r="Q13" i="39" s="1"/>
  <c r="R13" i="39" s="1"/>
  <c r="T13" i="39"/>
  <c r="V13" i="39"/>
  <c r="AH13" i="39"/>
  <c r="E14" i="39"/>
  <c r="I14" i="39"/>
  <c r="L14" i="39"/>
  <c r="O14" i="39"/>
  <c r="P14" i="39"/>
  <c r="T14" i="39" s="1"/>
  <c r="Q14" i="39"/>
  <c r="R14" i="39" s="1"/>
  <c r="V14" i="39"/>
  <c r="AH14" i="39"/>
  <c r="E15" i="39"/>
  <c r="I15" i="39"/>
  <c r="L15" i="39"/>
  <c r="O15" i="39"/>
  <c r="P15" i="39"/>
  <c r="Q15" i="39" s="1"/>
  <c r="R15" i="39" s="1"/>
  <c r="V15" i="39"/>
  <c r="AH15" i="39"/>
  <c r="E16" i="39"/>
  <c r="I16" i="39"/>
  <c r="L16" i="39"/>
  <c r="O16" i="39"/>
  <c r="P16" i="39"/>
  <c r="Q16" i="39"/>
  <c r="R16" i="39" s="1"/>
  <c r="T16" i="39"/>
  <c r="V16" i="39"/>
  <c r="AH16" i="39"/>
  <c r="E17" i="39"/>
  <c r="I17" i="39"/>
  <c r="L17" i="39"/>
  <c r="O17" i="39"/>
  <c r="P17" i="39"/>
  <c r="Q17" i="39" s="1"/>
  <c r="R17" i="39" s="1"/>
  <c r="V17" i="39"/>
  <c r="A19" i="39"/>
  <c r="E19" i="39"/>
  <c r="I19" i="39"/>
  <c r="L19" i="39"/>
  <c r="O19" i="39"/>
  <c r="P19" i="39"/>
  <c r="Q19" i="39" s="1"/>
  <c r="R19" i="39" s="1"/>
  <c r="V19" i="39"/>
  <c r="E20" i="39"/>
  <c r="I20" i="39"/>
  <c r="L20" i="39"/>
  <c r="O20" i="39"/>
  <c r="P20" i="39"/>
  <c r="Q20" i="39"/>
  <c r="R20" i="39"/>
  <c r="T20" i="39"/>
  <c r="V20" i="39"/>
  <c r="AH20" i="39"/>
  <c r="E21" i="39"/>
  <c r="I21" i="39"/>
  <c r="L21" i="39"/>
  <c r="O21" i="39"/>
  <c r="P21" i="39"/>
  <c r="Q21" i="39"/>
  <c r="R21" i="39" s="1"/>
  <c r="T21" i="39"/>
  <c r="V21" i="39"/>
  <c r="AH21" i="39"/>
  <c r="E22" i="39"/>
  <c r="I22" i="39"/>
  <c r="L22" i="39"/>
  <c r="O22" i="39"/>
  <c r="P22" i="39"/>
  <c r="Q22" i="39" s="1"/>
  <c r="R22" i="39" s="1"/>
  <c r="V22" i="39"/>
  <c r="AH22" i="39"/>
  <c r="E23" i="39"/>
  <c r="I23" i="39"/>
  <c r="L23" i="39"/>
  <c r="O23" i="39"/>
  <c r="P23" i="39"/>
  <c r="Q23" i="39"/>
  <c r="R23" i="39" s="1"/>
  <c r="T23" i="39"/>
  <c r="V23" i="39"/>
  <c r="AH23" i="39"/>
  <c r="E24" i="39"/>
  <c r="I24" i="39"/>
  <c r="L24" i="39"/>
  <c r="O24" i="39"/>
  <c r="P24" i="39"/>
  <c r="Q24" i="39" s="1"/>
  <c r="R24" i="39" s="1"/>
  <c r="V24" i="39"/>
  <c r="A26" i="39"/>
  <c r="B26" i="39"/>
  <c r="U65" i="39" s="1"/>
  <c r="E26" i="39"/>
  <c r="I26" i="39"/>
  <c r="L26" i="39"/>
  <c r="O26" i="39"/>
  <c r="P26" i="39"/>
  <c r="Q26" i="39"/>
  <c r="R26" i="39"/>
  <c r="E27" i="39"/>
  <c r="I27" i="39"/>
  <c r="L27" i="39"/>
  <c r="O27" i="39"/>
  <c r="P27" i="39"/>
  <c r="Q27" i="39"/>
  <c r="R27" i="39" s="1"/>
  <c r="T27" i="39"/>
  <c r="AH27" i="39"/>
  <c r="E28" i="39"/>
  <c r="L28" i="39"/>
  <c r="O28" i="39"/>
  <c r="P28" i="39"/>
  <c r="Q28" i="39"/>
  <c r="R28" i="39" s="1"/>
  <c r="T28" i="39"/>
  <c r="AH28" i="39"/>
  <c r="E29" i="39"/>
  <c r="I29" i="39"/>
  <c r="L29" i="39"/>
  <c r="O29" i="39"/>
  <c r="P29" i="39"/>
  <c r="Q29" i="39" s="1"/>
  <c r="R29" i="39" s="1"/>
  <c r="AH29" i="39"/>
  <c r="E30" i="39"/>
  <c r="I30" i="39"/>
  <c r="L30" i="39"/>
  <c r="O30" i="39"/>
  <c r="P30" i="39"/>
  <c r="Q30" i="39"/>
  <c r="R30" i="39" s="1"/>
  <c r="T30" i="39"/>
  <c r="AH30" i="39"/>
  <c r="E31" i="39"/>
  <c r="I31" i="39"/>
  <c r="L31" i="39"/>
  <c r="O31" i="39"/>
  <c r="P31" i="39"/>
  <c r="Q31" i="39" s="1"/>
  <c r="R31" i="39" s="1"/>
  <c r="A33" i="39"/>
  <c r="E33" i="39"/>
  <c r="F33" i="39" s="1"/>
  <c r="F88" i="39" s="1"/>
  <c r="I33" i="39"/>
  <c r="P33" i="39" s="1"/>
  <c r="L33" i="39"/>
  <c r="O33" i="39"/>
  <c r="E34" i="39"/>
  <c r="I34" i="39"/>
  <c r="L34" i="39"/>
  <c r="P34" i="39" s="1"/>
  <c r="O34" i="39"/>
  <c r="AH34" i="39"/>
  <c r="E35" i="39"/>
  <c r="I35" i="39"/>
  <c r="P35" i="39" s="1"/>
  <c r="L35" i="39"/>
  <c r="O35" i="39"/>
  <c r="AH35" i="39"/>
  <c r="E36" i="39"/>
  <c r="I36" i="39"/>
  <c r="L36" i="39"/>
  <c r="P36" i="39" s="1"/>
  <c r="O36" i="39"/>
  <c r="AH36" i="39"/>
  <c r="E37" i="39"/>
  <c r="F37" i="39" s="1"/>
  <c r="F92" i="39" s="1"/>
  <c r="I37" i="39"/>
  <c r="P37" i="39" s="1"/>
  <c r="L37" i="39"/>
  <c r="O37" i="39"/>
  <c r="AH37" i="39"/>
  <c r="E38" i="39"/>
  <c r="F38" i="39" s="1"/>
  <c r="F93" i="39" s="1"/>
  <c r="I38" i="39"/>
  <c r="L38" i="39"/>
  <c r="O38" i="39"/>
  <c r="P38" i="39"/>
  <c r="Q38" i="39" s="1"/>
  <c r="R38" i="39" s="1"/>
  <c r="A40" i="39"/>
  <c r="B40" i="39"/>
  <c r="E40" i="39"/>
  <c r="I40" i="39"/>
  <c r="P40" i="39" s="1"/>
  <c r="L40" i="39"/>
  <c r="O40" i="39"/>
  <c r="B41" i="39"/>
  <c r="E41" i="39"/>
  <c r="I41" i="39"/>
  <c r="L41" i="39"/>
  <c r="P41" i="39" s="1"/>
  <c r="O41" i="39"/>
  <c r="AH41" i="39"/>
  <c r="B42" i="39"/>
  <c r="E42" i="39"/>
  <c r="I42" i="39"/>
  <c r="L42" i="39"/>
  <c r="O42" i="39"/>
  <c r="P42" i="39" s="1"/>
  <c r="AH42" i="39"/>
  <c r="B43" i="39"/>
  <c r="E43" i="39"/>
  <c r="I43" i="39"/>
  <c r="L43" i="39"/>
  <c r="P43" i="39" s="1"/>
  <c r="O43" i="39"/>
  <c r="AH43" i="39"/>
  <c r="B44" i="39"/>
  <c r="E44" i="39"/>
  <c r="I44" i="39"/>
  <c r="P44" i="39" s="1"/>
  <c r="L44" i="39"/>
  <c r="O44" i="39"/>
  <c r="AH44" i="39"/>
  <c r="B45" i="39"/>
  <c r="E45" i="39"/>
  <c r="I45" i="39"/>
  <c r="L45" i="39"/>
  <c r="O45" i="39"/>
  <c r="P45" i="39"/>
  <c r="Q45" i="39" s="1"/>
  <c r="R45" i="39" s="1"/>
  <c r="A47" i="39"/>
  <c r="B47" i="39"/>
  <c r="E47" i="39"/>
  <c r="F47" i="39" s="1"/>
  <c r="H88" i="39" s="1"/>
  <c r="J88" i="39" s="1"/>
  <c r="I47" i="39"/>
  <c r="P47" i="39" s="1"/>
  <c r="L47" i="39"/>
  <c r="O47" i="39"/>
  <c r="B48" i="39"/>
  <c r="E48" i="39"/>
  <c r="I48" i="39"/>
  <c r="P48" i="39" s="1"/>
  <c r="L48" i="39"/>
  <c r="O48" i="39"/>
  <c r="AH48" i="39"/>
  <c r="B49" i="39"/>
  <c r="E49" i="39"/>
  <c r="I49" i="39"/>
  <c r="L49" i="39"/>
  <c r="O49" i="39"/>
  <c r="P49" i="39" s="1"/>
  <c r="AH49" i="39"/>
  <c r="B50" i="39"/>
  <c r="E50" i="39"/>
  <c r="I50" i="39"/>
  <c r="L50" i="39"/>
  <c r="P50" i="39" s="1"/>
  <c r="O50" i="39"/>
  <c r="AH50" i="39"/>
  <c r="B51" i="39"/>
  <c r="E51" i="39"/>
  <c r="I51" i="39"/>
  <c r="P51" i="39" s="1"/>
  <c r="L51" i="39"/>
  <c r="O51" i="39"/>
  <c r="AH51" i="39"/>
  <c r="B52" i="39"/>
  <c r="E52" i="39"/>
  <c r="F52" i="39" s="1"/>
  <c r="H93" i="39" s="1"/>
  <c r="J93" i="39" s="1"/>
  <c r="I52" i="39"/>
  <c r="L52" i="39"/>
  <c r="O52" i="39"/>
  <c r="P52" i="39"/>
  <c r="Q52" i="39" s="1"/>
  <c r="R52" i="39" s="1"/>
  <c r="A54" i="39"/>
  <c r="B54" i="39"/>
  <c r="E54" i="39"/>
  <c r="I54" i="39"/>
  <c r="P54" i="39" s="1"/>
  <c r="L54" i="39"/>
  <c r="O54" i="39"/>
  <c r="B55" i="39"/>
  <c r="E55" i="39"/>
  <c r="I55" i="39"/>
  <c r="P55" i="39" s="1"/>
  <c r="L55" i="39"/>
  <c r="O55" i="39"/>
  <c r="B56" i="39"/>
  <c r="B57" i="39" s="1"/>
  <c r="B58" i="39" s="1"/>
  <c r="B59" i="39" s="1"/>
  <c r="E56" i="39"/>
  <c r="I56" i="39"/>
  <c r="L56" i="39"/>
  <c r="O56" i="39"/>
  <c r="P56" i="39"/>
  <c r="T56" i="39" s="1"/>
  <c r="E57" i="39"/>
  <c r="I57" i="39"/>
  <c r="L57" i="39"/>
  <c r="O57" i="39"/>
  <c r="P57" i="39"/>
  <c r="Q57" i="39" s="1"/>
  <c r="R57" i="39" s="1"/>
  <c r="E58" i="39"/>
  <c r="I58" i="39"/>
  <c r="L58" i="39"/>
  <c r="P58" i="39" s="1"/>
  <c r="O58" i="39"/>
  <c r="E59" i="39"/>
  <c r="I59" i="39"/>
  <c r="P59" i="39" s="1"/>
  <c r="L59" i="39"/>
  <c r="O59" i="39"/>
  <c r="S65" i="39"/>
  <c r="T65" i="39"/>
  <c r="W65" i="39"/>
  <c r="X65" i="39"/>
  <c r="Y65" i="39"/>
  <c r="R66" i="39"/>
  <c r="S66" i="39"/>
  <c r="U85" i="39" s="1"/>
  <c r="T66" i="39"/>
  <c r="U66" i="39"/>
  <c r="R67" i="39"/>
  <c r="S67" i="39"/>
  <c r="T67" i="39"/>
  <c r="U67" i="39"/>
  <c r="R68" i="39"/>
  <c r="S68" i="39"/>
  <c r="U87" i="39" s="1"/>
  <c r="T68" i="39"/>
  <c r="U68" i="39"/>
  <c r="Y68" i="39"/>
  <c r="R69" i="39"/>
  <c r="S69" i="39"/>
  <c r="U88" i="39" s="1"/>
  <c r="T69" i="39"/>
  <c r="U69" i="39"/>
  <c r="R70" i="39"/>
  <c r="S70" i="39"/>
  <c r="U89" i="39" s="1"/>
  <c r="T70" i="39"/>
  <c r="U70" i="39"/>
  <c r="R71" i="39"/>
  <c r="S71" i="39"/>
  <c r="U90" i="39" s="1"/>
  <c r="T71" i="39"/>
  <c r="W85" i="39"/>
  <c r="U86" i="39"/>
  <c r="W86" i="39"/>
  <c r="C87" i="39"/>
  <c r="D87" i="39"/>
  <c r="G87" i="39"/>
  <c r="H87" i="39"/>
  <c r="J87" i="39" s="1"/>
  <c r="I87" i="39"/>
  <c r="W87" i="39"/>
  <c r="A88" i="39"/>
  <c r="W88" i="39"/>
  <c r="A89" i="39"/>
  <c r="C89" i="39"/>
  <c r="T86" i="39" s="1"/>
  <c r="D89" i="39"/>
  <c r="V86" i="39" s="1"/>
  <c r="W89" i="39"/>
  <c r="A90" i="39"/>
  <c r="C90" i="39"/>
  <c r="T87" i="39" s="1"/>
  <c r="D90" i="39"/>
  <c r="V87" i="39" s="1"/>
  <c r="T90" i="39"/>
  <c r="W90" i="39"/>
  <c r="A91" i="39"/>
  <c r="C91" i="39"/>
  <c r="T88" i="39" s="1"/>
  <c r="D91" i="39"/>
  <c r="V88" i="39" s="1"/>
  <c r="A92" i="39"/>
  <c r="A93" i="39"/>
  <c r="C93" i="39"/>
  <c r="D93" i="39"/>
  <c r="V90" i="39" s="1"/>
  <c r="D45" i="38"/>
  <c r="D33" i="38"/>
  <c r="I92" i="26"/>
  <c r="H92" i="26"/>
  <c r="G92" i="26"/>
  <c r="F92" i="26"/>
  <c r="E92" i="26"/>
  <c r="D92" i="26"/>
  <c r="C92" i="26"/>
  <c r="B92" i="26"/>
  <c r="A92" i="26"/>
  <c r="I91" i="26"/>
  <c r="H91" i="26"/>
  <c r="G91" i="26"/>
  <c r="F91" i="26"/>
  <c r="E91" i="26"/>
  <c r="D91" i="26"/>
  <c r="C91" i="26"/>
  <c r="B91" i="26"/>
  <c r="A91" i="26"/>
  <c r="I90" i="26"/>
  <c r="H90" i="26"/>
  <c r="G90" i="26"/>
  <c r="F90" i="26"/>
  <c r="E90" i="26"/>
  <c r="D90" i="26"/>
  <c r="C90" i="26"/>
  <c r="B90" i="26"/>
  <c r="A90" i="26"/>
  <c r="I89" i="26"/>
  <c r="H89" i="26"/>
  <c r="G89" i="26"/>
  <c r="F89" i="26"/>
  <c r="E89" i="26"/>
  <c r="D89" i="26"/>
  <c r="C89" i="26"/>
  <c r="B89" i="26"/>
  <c r="A89" i="26"/>
  <c r="I88" i="26"/>
  <c r="H88" i="26"/>
  <c r="G88" i="26"/>
  <c r="F88" i="26"/>
  <c r="E88" i="26"/>
  <c r="D88" i="26"/>
  <c r="C88" i="26"/>
  <c r="B88" i="26"/>
  <c r="A88" i="26"/>
  <c r="I87" i="26"/>
  <c r="H87" i="26"/>
  <c r="G87" i="26"/>
  <c r="F87" i="26"/>
  <c r="E87" i="26"/>
  <c r="D87" i="26"/>
  <c r="C87" i="26"/>
  <c r="B87" i="26"/>
  <c r="A87" i="26"/>
  <c r="I86" i="26"/>
  <c r="H86" i="26"/>
  <c r="G86" i="26"/>
  <c r="F86" i="26"/>
  <c r="E86" i="26"/>
  <c r="D86" i="26"/>
  <c r="C86" i="26"/>
  <c r="Q70" i="26"/>
  <c r="P70" i="26"/>
  <c r="O70" i="26"/>
  <c r="N70" i="26"/>
  <c r="M70" i="26"/>
  <c r="L70" i="26"/>
  <c r="K70" i="26"/>
  <c r="Q69" i="26"/>
  <c r="P69" i="26"/>
  <c r="O69" i="26"/>
  <c r="N69" i="26"/>
  <c r="M69" i="26"/>
  <c r="L69" i="26"/>
  <c r="K69" i="26"/>
  <c r="Q68" i="26"/>
  <c r="P68" i="26"/>
  <c r="O68" i="26"/>
  <c r="N68" i="26"/>
  <c r="M68" i="26"/>
  <c r="L68" i="26"/>
  <c r="K68" i="26"/>
  <c r="Q67" i="26"/>
  <c r="P67" i="26"/>
  <c r="O67" i="26"/>
  <c r="N67" i="26"/>
  <c r="M67" i="26"/>
  <c r="L67" i="26"/>
  <c r="K67" i="26"/>
  <c r="Q66" i="26"/>
  <c r="P66" i="26"/>
  <c r="O66" i="26"/>
  <c r="N66" i="26"/>
  <c r="M66" i="26"/>
  <c r="L66" i="26"/>
  <c r="K66" i="26"/>
  <c r="Q65" i="26"/>
  <c r="P65" i="26"/>
  <c r="O65" i="26"/>
  <c r="N65" i="26"/>
  <c r="M65" i="26"/>
  <c r="L65" i="26"/>
  <c r="K65" i="26"/>
  <c r="Q64" i="26"/>
  <c r="P64" i="26"/>
  <c r="O64" i="26"/>
  <c r="N64" i="26"/>
  <c r="M64" i="26"/>
  <c r="L64" i="26"/>
  <c r="M51" i="26"/>
  <c r="K51" i="26"/>
  <c r="J51" i="26"/>
  <c r="I51" i="26"/>
  <c r="F51" i="26"/>
  <c r="E51" i="26"/>
  <c r="B51" i="26"/>
  <c r="A51" i="26"/>
  <c r="AA50" i="26"/>
  <c r="M50" i="26"/>
  <c r="K50" i="26"/>
  <c r="J50" i="26"/>
  <c r="I50" i="26"/>
  <c r="F50" i="26"/>
  <c r="E50" i="26"/>
  <c r="B50" i="26"/>
  <c r="A50" i="26"/>
  <c r="AA49" i="26"/>
  <c r="M49" i="26"/>
  <c r="K49" i="26"/>
  <c r="J49" i="26"/>
  <c r="I49" i="26"/>
  <c r="F49" i="26"/>
  <c r="E49" i="26"/>
  <c r="B49" i="26"/>
  <c r="A49" i="26"/>
  <c r="AA48" i="26"/>
  <c r="M48" i="26"/>
  <c r="K48" i="26"/>
  <c r="J48" i="26"/>
  <c r="I48" i="26"/>
  <c r="F48" i="26"/>
  <c r="E48" i="26"/>
  <c r="B48" i="26"/>
  <c r="A48" i="26"/>
  <c r="AA47" i="26"/>
  <c r="M47" i="26"/>
  <c r="K47" i="26"/>
  <c r="J47" i="26"/>
  <c r="I47" i="26"/>
  <c r="F47" i="26"/>
  <c r="E47" i="26"/>
  <c r="B47" i="26"/>
  <c r="A47" i="26"/>
  <c r="K46" i="26"/>
  <c r="J46" i="26"/>
  <c r="I46" i="26"/>
  <c r="F46" i="26"/>
  <c r="E46" i="26"/>
  <c r="B46" i="26"/>
  <c r="A46" i="26"/>
  <c r="M44" i="26"/>
  <c r="K44" i="26"/>
  <c r="J44" i="26"/>
  <c r="I44" i="26"/>
  <c r="F44" i="26"/>
  <c r="E44" i="26"/>
  <c r="D44" i="26"/>
  <c r="B44" i="26"/>
  <c r="A44" i="26"/>
  <c r="AA43" i="26"/>
  <c r="M43" i="26"/>
  <c r="K43" i="26"/>
  <c r="J43" i="26"/>
  <c r="I43" i="26"/>
  <c r="F43" i="26"/>
  <c r="E43" i="26"/>
  <c r="D43" i="26"/>
  <c r="B43" i="26"/>
  <c r="A43" i="26"/>
  <c r="AA42" i="26"/>
  <c r="M42" i="26"/>
  <c r="K42" i="26"/>
  <c r="J42" i="26"/>
  <c r="I42" i="26"/>
  <c r="F42" i="26"/>
  <c r="E42" i="26"/>
  <c r="D42" i="26"/>
  <c r="B42" i="26"/>
  <c r="A42" i="26"/>
  <c r="AA41" i="26"/>
  <c r="M41" i="26"/>
  <c r="K41" i="26"/>
  <c r="J41" i="26"/>
  <c r="I41" i="26"/>
  <c r="F41" i="26"/>
  <c r="E41" i="26"/>
  <c r="D41" i="26"/>
  <c r="B41" i="26"/>
  <c r="A41" i="26"/>
  <c r="AA40" i="26"/>
  <c r="M40" i="26"/>
  <c r="K40" i="26"/>
  <c r="J40" i="26"/>
  <c r="I40" i="26"/>
  <c r="F40" i="26"/>
  <c r="E40" i="26"/>
  <c r="D40" i="26"/>
  <c r="B40" i="26"/>
  <c r="A40" i="26"/>
  <c r="K39" i="26"/>
  <c r="J39" i="26"/>
  <c r="I39" i="26"/>
  <c r="F39" i="26"/>
  <c r="E39" i="26"/>
  <c r="D39" i="26"/>
  <c r="B39" i="26"/>
  <c r="A39" i="26"/>
  <c r="M37" i="26"/>
  <c r="K37" i="26"/>
  <c r="J37" i="26"/>
  <c r="I37" i="26"/>
  <c r="F37" i="26"/>
  <c r="E37" i="26"/>
  <c r="D37" i="26"/>
  <c r="B37" i="26"/>
  <c r="A37" i="26"/>
  <c r="AA36" i="26"/>
  <c r="M36" i="26"/>
  <c r="K36" i="26"/>
  <c r="J36" i="26"/>
  <c r="I36" i="26"/>
  <c r="F36" i="26"/>
  <c r="E36" i="26"/>
  <c r="D36" i="26"/>
  <c r="B36" i="26"/>
  <c r="A36" i="26"/>
  <c r="AA35" i="26"/>
  <c r="M35" i="26"/>
  <c r="K35" i="26"/>
  <c r="J35" i="26"/>
  <c r="I35" i="26"/>
  <c r="F35" i="26"/>
  <c r="E35" i="26"/>
  <c r="D35" i="26"/>
  <c r="B35" i="26"/>
  <c r="A35" i="26"/>
  <c r="AA34" i="26"/>
  <c r="M34" i="26"/>
  <c r="K34" i="26"/>
  <c r="J34" i="26"/>
  <c r="I34" i="26"/>
  <c r="F34" i="26"/>
  <c r="E34" i="26"/>
  <c r="D34" i="26"/>
  <c r="B34" i="26"/>
  <c r="A34" i="26"/>
  <c r="AA33" i="26"/>
  <c r="M33" i="26"/>
  <c r="K33" i="26"/>
  <c r="J33" i="26"/>
  <c r="I33" i="26"/>
  <c r="F33" i="26"/>
  <c r="E33" i="26"/>
  <c r="D33" i="26"/>
  <c r="B33" i="26"/>
  <c r="A33" i="26"/>
  <c r="K32" i="26"/>
  <c r="J32" i="26"/>
  <c r="I32" i="26"/>
  <c r="F32" i="26"/>
  <c r="E32" i="26"/>
  <c r="D32" i="26"/>
  <c r="B32" i="26"/>
  <c r="A32" i="26"/>
  <c r="M30" i="26"/>
  <c r="K30" i="26"/>
  <c r="J30" i="26"/>
  <c r="I30" i="26"/>
  <c r="F30" i="26"/>
  <c r="E30" i="26"/>
  <c r="D30" i="26"/>
  <c r="B30" i="26"/>
  <c r="A30" i="26"/>
  <c r="AA29" i="26"/>
  <c r="M29" i="26"/>
  <c r="K29" i="26"/>
  <c r="J29" i="26"/>
  <c r="I29" i="26"/>
  <c r="F29" i="26"/>
  <c r="E29" i="26"/>
  <c r="D29" i="26"/>
  <c r="B29" i="26"/>
  <c r="A29" i="26"/>
  <c r="AA28" i="26"/>
  <c r="M28" i="26"/>
  <c r="K28" i="26"/>
  <c r="J28" i="26"/>
  <c r="I28" i="26"/>
  <c r="F28" i="26"/>
  <c r="E28" i="26"/>
  <c r="D28" i="26"/>
  <c r="B28" i="26"/>
  <c r="A28" i="26"/>
  <c r="AA27" i="26"/>
  <c r="M27" i="26"/>
  <c r="K27" i="26"/>
  <c r="J27" i="26"/>
  <c r="I27" i="26"/>
  <c r="F27" i="26"/>
  <c r="E27" i="26"/>
  <c r="D27" i="26"/>
  <c r="B27" i="26"/>
  <c r="A27" i="26"/>
  <c r="AA26" i="26"/>
  <c r="M26" i="26"/>
  <c r="K26" i="26"/>
  <c r="J26" i="26"/>
  <c r="I26" i="26"/>
  <c r="F26" i="26"/>
  <c r="E26" i="26"/>
  <c r="D26" i="26"/>
  <c r="B26" i="26"/>
  <c r="A26" i="26"/>
  <c r="K25" i="26"/>
  <c r="J25" i="26"/>
  <c r="I25" i="26"/>
  <c r="F25" i="26"/>
  <c r="E25" i="26"/>
  <c r="D25" i="26"/>
  <c r="B25" i="26"/>
  <c r="A25" i="26"/>
  <c r="M24" i="26"/>
  <c r="M23" i="26"/>
  <c r="K23" i="26"/>
  <c r="J23" i="26"/>
  <c r="I23" i="26"/>
  <c r="F23" i="26"/>
  <c r="E23" i="26"/>
  <c r="D23" i="26"/>
  <c r="B23" i="26"/>
  <c r="A23" i="26"/>
  <c r="AA22" i="26"/>
  <c r="M22" i="26"/>
  <c r="K22" i="26"/>
  <c r="J22" i="26"/>
  <c r="I22" i="26"/>
  <c r="F22" i="26"/>
  <c r="E22" i="26"/>
  <c r="D22" i="26"/>
  <c r="B22" i="26"/>
  <c r="A22" i="26"/>
  <c r="AA21" i="26"/>
  <c r="M21" i="26"/>
  <c r="K21" i="26"/>
  <c r="J21" i="26"/>
  <c r="I21" i="26"/>
  <c r="F21" i="26"/>
  <c r="E21" i="26"/>
  <c r="D21" i="26"/>
  <c r="B21" i="26"/>
  <c r="A21" i="26"/>
  <c r="AA20" i="26"/>
  <c r="M20" i="26"/>
  <c r="K20" i="26"/>
  <c r="J20" i="26"/>
  <c r="I20" i="26"/>
  <c r="F20" i="26"/>
  <c r="E20" i="26"/>
  <c r="D20" i="26"/>
  <c r="B20" i="26"/>
  <c r="A20" i="26"/>
  <c r="AA19" i="26"/>
  <c r="M19" i="26"/>
  <c r="K19" i="26"/>
  <c r="J19" i="26"/>
  <c r="I19" i="26"/>
  <c r="F19" i="26"/>
  <c r="E19" i="26"/>
  <c r="D19" i="26"/>
  <c r="B19" i="26"/>
  <c r="A19" i="26"/>
  <c r="K18" i="26"/>
  <c r="J18" i="26"/>
  <c r="I18" i="26"/>
  <c r="F18" i="26"/>
  <c r="E18" i="26"/>
  <c r="D18" i="26"/>
  <c r="B18" i="26"/>
  <c r="A18" i="26"/>
  <c r="M16" i="26"/>
  <c r="K16" i="26"/>
  <c r="J16" i="26"/>
  <c r="I16" i="26"/>
  <c r="F16" i="26"/>
  <c r="E16" i="26"/>
  <c r="D16" i="26"/>
  <c r="B16" i="26"/>
  <c r="A16" i="26"/>
  <c r="AA15" i="26"/>
  <c r="M15" i="26"/>
  <c r="K15" i="26"/>
  <c r="J15" i="26"/>
  <c r="I15" i="26"/>
  <c r="F15" i="26"/>
  <c r="E15" i="26"/>
  <c r="D15" i="26"/>
  <c r="B15" i="26"/>
  <c r="A15" i="26"/>
  <c r="AA14" i="26"/>
  <c r="M14" i="26"/>
  <c r="K14" i="26"/>
  <c r="J14" i="26"/>
  <c r="I14" i="26"/>
  <c r="F14" i="26"/>
  <c r="E14" i="26"/>
  <c r="D14" i="26"/>
  <c r="B14" i="26"/>
  <c r="A14" i="26"/>
  <c r="AA13" i="26"/>
  <c r="M13" i="26"/>
  <c r="K13" i="26"/>
  <c r="J13" i="26"/>
  <c r="I13" i="26"/>
  <c r="F13" i="26"/>
  <c r="E13" i="26"/>
  <c r="D13" i="26"/>
  <c r="B13" i="26"/>
  <c r="A13" i="26"/>
  <c r="AA12" i="26"/>
  <c r="M12" i="26"/>
  <c r="K12" i="26"/>
  <c r="J12" i="26"/>
  <c r="I12" i="26"/>
  <c r="F12" i="26"/>
  <c r="E12" i="26"/>
  <c r="D12" i="26"/>
  <c r="B12" i="26"/>
  <c r="A12" i="26"/>
  <c r="K11" i="26"/>
  <c r="J11" i="26"/>
  <c r="I11" i="26"/>
  <c r="F11" i="26"/>
  <c r="E11" i="26"/>
  <c r="D11" i="26"/>
  <c r="B11" i="26"/>
  <c r="A11" i="26"/>
  <c r="AA10" i="26"/>
  <c r="AA9" i="26"/>
  <c r="P7" i="26"/>
  <c r="J7" i="26"/>
  <c r="P6" i="26"/>
  <c r="J6" i="26"/>
  <c r="C6" i="26"/>
  <c r="P5" i="26"/>
  <c r="J5" i="26"/>
  <c r="P4" i="26"/>
  <c r="P105" i="24"/>
  <c r="O105" i="24"/>
  <c r="N105" i="24"/>
  <c r="M105" i="24"/>
  <c r="L105" i="24"/>
  <c r="K105" i="24"/>
  <c r="P104" i="24"/>
  <c r="O104" i="24"/>
  <c r="N104" i="24"/>
  <c r="M104" i="24"/>
  <c r="L104" i="24"/>
  <c r="K104" i="24"/>
  <c r="I92" i="24"/>
  <c r="H92" i="24"/>
  <c r="G92" i="24"/>
  <c r="F92" i="24"/>
  <c r="E92" i="24"/>
  <c r="D92" i="24"/>
  <c r="C92" i="24"/>
  <c r="B92" i="24"/>
  <c r="A92" i="24"/>
  <c r="I91" i="24"/>
  <c r="H91" i="24"/>
  <c r="G91" i="24"/>
  <c r="F91" i="24"/>
  <c r="E91" i="24"/>
  <c r="D91" i="24"/>
  <c r="C91" i="24"/>
  <c r="B91" i="24"/>
  <c r="A91" i="24"/>
  <c r="I90" i="24"/>
  <c r="H90" i="24"/>
  <c r="G90" i="24"/>
  <c r="F90" i="24"/>
  <c r="E90" i="24"/>
  <c r="D90" i="24"/>
  <c r="C90" i="24"/>
  <c r="B90" i="24"/>
  <c r="A90" i="24"/>
  <c r="I89" i="24"/>
  <c r="H89" i="24"/>
  <c r="G89" i="24"/>
  <c r="F89" i="24"/>
  <c r="E89" i="24"/>
  <c r="D89" i="24"/>
  <c r="C89" i="24"/>
  <c r="B89" i="24"/>
  <c r="A89" i="24"/>
  <c r="I88" i="24"/>
  <c r="H88" i="24"/>
  <c r="G88" i="24"/>
  <c r="F88" i="24"/>
  <c r="E88" i="24"/>
  <c r="D88" i="24"/>
  <c r="C88" i="24"/>
  <c r="B88" i="24"/>
  <c r="A88" i="24"/>
  <c r="I87" i="24"/>
  <c r="H87" i="24"/>
  <c r="G87" i="24"/>
  <c r="F87" i="24"/>
  <c r="E87" i="24"/>
  <c r="D87" i="24"/>
  <c r="C87" i="24"/>
  <c r="B87" i="24"/>
  <c r="A87" i="24"/>
  <c r="I86" i="24"/>
  <c r="H86" i="24"/>
  <c r="G86" i="24"/>
  <c r="F86" i="24"/>
  <c r="E86" i="24"/>
  <c r="D86" i="24"/>
  <c r="C86" i="24"/>
  <c r="Q83" i="24"/>
  <c r="P83" i="24"/>
  <c r="O83" i="24"/>
  <c r="N83" i="24"/>
  <c r="Q82" i="24"/>
  <c r="P82" i="24"/>
  <c r="O82" i="24"/>
  <c r="N82" i="24"/>
  <c r="Q81" i="24"/>
  <c r="P81" i="24"/>
  <c r="O81" i="24"/>
  <c r="N81" i="24"/>
  <c r="Q80" i="24"/>
  <c r="P80" i="24"/>
  <c r="O80" i="24"/>
  <c r="N80" i="24"/>
  <c r="Q79" i="24"/>
  <c r="P79" i="24"/>
  <c r="O79" i="24"/>
  <c r="N79" i="24"/>
  <c r="Q78" i="24"/>
  <c r="P78" i="24"/>
  <c r="O78" i="24"/>
  <c r="N78" i="24"/>
  <c r="Q70" i="24"/>
  <c r="P70" i="24"/>
  <c r="O70" i="24"/>
  <c r="N70" i="24"/>
  <c r="M70" i="24"/>
  <c r="L70" i="24"/>
  <c r="K70" i="24"/>
  <c r="Q69" i="24"/>
  <c r="P69" i="24"/>
  <c r="O69" i="24"/>
  <c r="N69" i="24"/>
  <c r="M69" i="24"/>
  <c r="L69" i="24"/>
  <c r="K69" i="24"/>
  <c r="Q68" i="24"/>
  <c r="P68" i="24"/>
  <c r="O68" i="24"/>
  <c r="N68" i="24"/>
  <c r="M68" i="24"/>
  <c r="L68" i="24"/>
  <c r="K68" i="24"/>
  <c r="Q67" i="24"/>
  <c r="P67" i="24"/>
  <c r="O67" i="24"/>
  <c r="N67" i="24"/>
  <c r="M67" i="24"/>
  <c r="L67" i="24"/>
  <c r="K67" i="24"/>
  <c r="Q66" i="24"/>
  <c r="P66" i="24"/>
  <c r="O66" i="24"/>
  <c r="N66" i="24"/>
  <c r="M66" i="24"/>
  <c r="L66" i="24"/>
  <c r="K66" i="24"/>
  <c r="Q65" i="24"/>
  <c r="P65" i="24"/>
  <c r="O65" i="24"/>
  <c r="N65" i="24"/>
  <c r="M65" i="24"/>
  <c r="L65" i="24"/>
  <c r="K65" i="24"/>
  <c r="Q64" i="24"/>
  <c r="P64" i="24"/>
  <c r="O64" i="24"/>
  <c r="N64" i="24"/>
  <c r="M64" i="24"/>
  <c r="L64" i="24"/>
  <c r="M51" i="24"/>
  <c r="K51" i="24"/>
  <c r="J51" i="24"/>
  <c r="I51" i="24"/>
  <c r="F51" i="24"/>
  <c r="E51" i="24"/>
  <c r="B51" i="24"/>
  <c r="A51" i="24"/>
  <c r="AA50" i="24"/>
  <c r="M50" i="24"/>
  <c r="K50" i="24"/>
  <c r="J50" i="24"/>
  <c r="I50" i="24"/>
  <c r="F50" i="24"/>
  <c r="E50" i="24"/>
  <c r="D50" i="24"/>
  <c r="B50" i="24"/>
  <c r="A50" i="24"/>
  <c r="AA49" i="24"/>
  <c r="M49" i="24"/>
  <c r="K49" i="24"/>
  <c r="J49" i="24"/>
  <c r="I49" i="24"/>
  <c r="F49" i="24"/>
  <c r="E49" i="24"/>
  <c r="B49" i="24"/>
  <c r="A49" i="24"/>
  <c r="AA48" i="24"/>
  <c r="M48" i="24"/>
  <c r="K48" i="24"/>
  <c r="J48" i="24"/>
  <c r="I48" i="24"/>
  <c r="F48" i="24"/>
  <c r="E48" i="24"/>
  <c r="B48" i="24"/>
  <c r="A48" i="24"/>
  <c r="AA47" i="24"/>
  <c r="M47" i="24"/>
  <c r="K47" i="24"/>
  <c r="J47" i="24"/>
  <c r="I47" i="24"/>
  <c r="F47" i="24"/>
  <c r="E47" i="24"/>
  <c r="B47" i="24"/>
  <c r="A47" i="24"/>
  <c r="K46" i="24"/>
  <c r="J46" i="24"/>
  <c r="I46" i="24"/>
  <c r="F46" i="24"/>
  <c r="E46" i="24"/>
  <c r="B46" i="24"/>
  <c r="A46" i="24"/>
  <c r="M44" i="24"/>
  <c r="K44" i="24"/>
  <c r="J44" i="24"/>
  <c r="I44" i="24"/>
  <c r="F44" i="24"/>
  <c r="E44" i="24"/>
  <c r="D44" i="24"/>
  <c r="B44" i="24"/>
  <c r="A44" i="24"/>
  <c r="AA43" i="24"/>
  <c r="M43" i="24"/>
  <c r="K43" i="24"/>
  <c r="J43" i="24"/>
  <c r="I43" i="24"/>
  <c r="F43" i="24"/>
  <c r="E43" i="24"/>
  <c r="B43" i="24"/>
  <c r="A43" i="24"/>
  <c r="AA42" i="24"/>
  <c r="M42" i="24"/>
  <c r="K42" i="24"/>
  <c r="J42" i="24"/>
  <c r="I42" i="24"/>
  <c r="F42" i="24"/>
  <c r="E42" i="24"/>
  <c r="B42" i="24"/>
  <c r="A42" i="24"/>
  <c r="AA41" i="24"/>
  <c r="M41" i="24"/>
  <c r="K41" i="24"/>
  <c r="J41" i="24"/>
  <c r="I41" i="24"/>
  <c r="F41" i="24"/>
  <c r="E41" i="24"/>
  <c r="B41" i="24"/>
  <c r="A41" i="24"/>
  <c r="AA40" i="24"/>
  <c r="M40" i="24"/>
  <c r="K40" i="24"/>
  <c r="J40" i="24"/>
  <c r="I40" i="24"/>
  <c r="F40" i="24"/>
  <c r="E40" i="24"/>
  <c r="B40" i="24"/>
  <c r="A40" i="24"/>
  <c r="K39" i="24"/>
  <c r="J39" i="24"/>
  <c r="I39" i="24"/>
  <c r="F39" i="24"/>
  <c r="E39" i="24"/>
  <c r="B39" i="24"/>
  <c r="A39" i="24"/>
  <c r="M37" i="24"/>
  <c r="K37" i="24"/>
  <c r="J37" i="24"/>
  <c r="I37" i="24"/>
  <c r="F37" i="24"/>
  <c r="E37" i="24"/>
  <c r="B37" i="24"/>
  <c r="A37" i="24"/>
  <c r="AA36" i="24"/>
  <c r="M36" i="24"/>
  <c r="K36" i="24"/>
  <c r="J36" i="24"/>
  <c r="I36" i="24"/>
  <c r="F36" i="24"/>
  <c r="E36" i="24"/>
  <c r="B36" i="24"/>
  <c r="A36" i="24"/>
  <c r="AA35" i="24"/>
  <c r="M35" i="24"/>
  <c r="K35" i="24"/>
  <c r="J35" i="24"/>
  <c r="I35" i="24"/>
  <c r="F35" i="24"/>
  <c r="E35" i="24"/>
  <c r="B35" i="24"/>
  <c r="A35" i="24"/>
  <c r="AA34" i="24"/>
  <c r="M34" i="24"/>
  <c r="K34" i="24"/>
  <c r="J34" i="24"/>
  <c r="I34" i="24"/>
  <c r="F34" i="24"/>
  <c r="E34" i="24"/>
  <c r="B34" i="24"/>
  <c r="A34" i="24"/>
  <c r="AA33" i="24"/>
  <c r="M33" i="24"/>
  <c r="K33" i="24"/>
  <c r="J33" i="24"/>
  <c r="I33" i="24"/>
  <c r="F33" i="24"/>
  <c r="E33" i="24"/>
  <c r="B33" i="24"/>
  <c r="A33" i="24"/>
  <c r="K32" i="24"/>
  <c r="J32" i="24"/>
  <c r="I32" i="24"/>
  <c r="F32" i="24"/>
  <c r="E32" i="24"/>
  <c r="B32" i="24"/>
  <c r="A32" i="24"/>
  <c r="M30" i="24"/>
  <c r="K30" i="24"/>
  <c r="J30" i="24"/>
  <c r="I30" i="24"/>
  <c r="F30" i="24"/>
  <c r="E30" i="24"/>
  <c r="B30" i="24"/>
  <c r="A30" i="24"/>
  <c r="AA29" i="24"/>
  <c r="M29" i="24"/>
  <c r="K29" i="24"/>
  <c r="J29" i="24"/>
  <c r="I29" i="24"/>
  <c r="F29" i="24"/>
  <c r="E29" i="24"/>
  <c r="B29" i="24"/>
  <c r="A29" i="24"/>
  <c r="AA28" i="24"/>
  <c r="M28" i="24"/>
  <c r="K28" i="24"/>
  <c r="J28" i="24"/>
  <c r="I28" i="24"/>
  <c r="F28" i="24"/>
  <c r="E28" i="24"/>
  <c r="B28" i="24"/>
  <c r="A28" i="24"/>
  <c r="AA27" i="24"/>
  <c r="M27" i="24"/>
  <c r="K27" i="24"/>
  <c r="J27" i="24"/>
  <c r="I27" i="24"/>
  <c r="F27" i="24"/>
  <c r="E27" i="24"/>
  <c r="B27" i="24"/>
  <c r="A27" i="24"/>
  <c r="AA26" i="24"/>
  <c r="M26" i="24"/>
  <c r="K26" i="24"/>
  <c r="J26" i="24"/>
  <c r="I26" i="24"/>
  <c r="F26" i="24"/>
  <c r="E26" i="24"/>
  <c r="B26" i="24"/>
  <c r="A26" i="24"/>
  <c r="K25" i="24"/>
  <c r="J25" i="24"/>
  <c r="I25" i="24"/>
  <c r="F25" i="24"/>
  <c r="E25" i="24"/>
  <c r="B25" i="24"/>
  <c r="A25" i="24"/>
  <c r="P23" i="24"/>
  <c r="O23" i="24"/>
  <c r="M23" i="24"/>
  <c r="K23" i="24"/>
  <c r="J23" i="24"/>
  <c r="I23" i="24"/>
  <c r="F23" i="24"/>
  <c r="E23" i="24"/>
  <c r="B23" i="24"/>
  <c r="A23" i="24"/>
  <c r="AA22" i="24"/>
  <c r="P22" i="24"/>
  <c r="O22" i="24"/>
  <c r="M22" i="24"/>
  <c r="K22" i="24"/>
  <c r="J22" i="24"/>
  <c r="I22" i="24"/>
  <c r="F22" i="24"/>
  <c r="E22" i="24"/>
  <c r="B22" i="24"/>
  <c r="A22" i="24"/>
  <c r="AA21" i="24"/>
  <c r="P21" i="24"/>
  <c r="O21" i="24"/>
  <c r="M21" i="24"/>
  <c r="K21" i="24"/>
  <c r="J21" i="24"/>
  <c r="I21" i="24"/>
  <c r="F21" i="24"/>
  <c r="E21" i="24"/>
  <c r="B21" i="24"/>
  <c r="A21" i="24"/>
  <c r="AA20" i="24"/>
  <c r="P20" i="24"/>
  <c r="O20" i="24"/>
  <c r="M20" i="24"/>
  <c r="K20" i="24"/>
  <c r="J20" i="24"/>
  <c r="I20" i="24"/>
  <c r="F20" i="24"/>
  <c r="E20" i="24"/>
  <c r="B20" i="24"/>
  <c r="A20" i="24"/>
  <c r="AA19" i="24"/>
  <c r="P19" i="24"/>
  <c r="O19" i="24"/>
  <c r="M19" i="24"/>
  <c r="K19" i="24"/>
  <c r="J19" i="24"/>
  <c r="I19" i="24"/>
  <c r="F19" i="24"/>
  <c r="E19" i="24"/>
  <c r="B19" i="24"/>
  <c r="A19" i="24"/>
  <c r="P18" i="24"/>
  <c r="O18" i="24"/>
  <c r="K18" i="24"/>
  <c r="J18" i="24"/>
  <c r="I18" i="24"/>
  <c r="F18" i="24"/>
  <c r="E18" i="24"/>
  <c r="B18" i="24"/>
  <c r="A18" i="24"/>
  <c r="P16" i="24"/>
  <c r="O16" i="24"/>
  <c r="M16" i="24"/>
  <c r="K16" i="24"/>
  <c r="J16" i="24"/>
  <c r="I16" i="24"/>
  <c r="F16" i="24"/>
  <c r="E16" i="24"/>
  <c r="B16" i="24"/>
  <c r="A16" i="24"/>
  <c r="AA15" i="24"/>
  <c r="P15" i="24"/>
  <c r="O15" i="24"/>
  <c r="M15" i="24"/>
  <c r="K15" i="24"/>
  <c r="J15" i="24"/>
  <c r="I15" i="24"/>
  <c r="F15" i="24"/>
  <c r="E15" i="24"/>
  <c r="B15" i="24"/>
  <c r="A15" i="24"/>
  <c r="AA14" i="24"/>
  <c r="P14" i="24"/>
  <c r="O14" i="24"/>
  <c r="M14" i="24"/>
  <c r="K14" i="24"/>
  <c r="J14" i="24"/>
  <c r="I14" i="24"/>
  <c r="F14" i="24"/>
  <c r="E14" i="24"/>
  <c r="B14" i="24"/>
  <c r="A14" i="24"/>
  <c r="AA13" i="24"/>
  <c r="P13" i="24"/>
  <c r="O13" i="24"/>
  <c r="M13" i="24"/>
  <c r="K13" i="24"/>
  <c r="J13" i="24"/>
  <c r="I13" i="24"/>
  <c r="F13" i="24"/>
  <c r="E13" i="24"/>
  <c r="B13" i="24"/>
  <c r="A13" i="24"/>
  <c r="AA12" i="24"/>
  <c r="P12" i="24"/>
  <c r="O12" i="24"/>
  <c r="M12" i="24"/>
  <c r="K12" i="24"/>
  <c r="J12" i="24"/>
  <c r="I12" i="24"/>
  <c r="F12" i="24"/>
  <c r="E12" i="24"/>
  <c r="B12" i="24"/>
  <c r="A12" i="24"/>
  <c r="P11" i="24"/>
  <c r="O11" i="24"/>
  <c r="K11" i="24"/>
  <c r="J11" i="24"/>
  <c r="I11" i="24"/>
  <c r="F11" i="24"/>
  <c r="E11" i="24"/>
  <c r="B11" i="24"/>
  <c r="A11" i="24"/>
  <c r="AA10" i="24"/>
  <c r="AA9" i="24"/>
  <c r="P7" i="24"/>
  <c r="J7" i="24"/>
  <c r="P6" i="24"/>
  <c r="J6" i="24"/>
  <c r="C6" i="24"/>
  <c r="P5" i="24"/>
  <c r="J5" i="24"/>
  <c r="P4" i="24"/>
  <c r="P3" i="24"/>
  <c r="I92" i="33"/>
  <c r="H92" i="33"/>
  <c r="G92" i="33"/>
  <c r="F92" i="33"/>
  <c r="E92" i="33"/>
  <c r="D92" i="33"/>
  <c r="C92" i="33"/>
  <c r="B92" i="33"/>
  <c r="A92" i="33"/>
  <c r="I91" i="33"/>
  <c r="H91" i="33"/>
  <c r="G91" i="33"/>
  <c r="F91" i="33"/>
  <c r="E91" i="33"/>
  <c r="D91" i="33"/>
  <c r="C91" i="33"/>
  <c r="B91" i="33"/>
  <c r="A91" i="33"/>
  <c r="I90" i="33"/>
  <c r="H90" i="33"/>
  <c r="G90" i="33"/>
  <c r="F90" i="33"/>
  <c r="E90" i="33"/>
  <c r="D90" i="33"/>
  <c r="C90" i="33"/>
  <c r="B90" i="33"/>
  <c r="A90" i="33"/>
  <c r="I89" i="33"/>
  <c r="H89" i="33"/>
  <c r="G89" i="33"/>
  <c r="F89" i="33"/>
  <c r="E89" i="33"/>
  <c r="D89" i="33"/>
  <c r="C89" i="33"/>
  <c r="B89" i="33"/>
  <c r="A89" i="33"/>
  <c r="I88" i="33"/>
  <c r="H88" i="33"/>
  <c r="G88" i="33"/>
  <c r="F88" i="33"/>
  <c r="E88" i="33"/>
  <c r="D88" i="33"/>
  <c r="C88" i="33"/>
  <c r="B88" i="33"/>
  <c r="A88" i="33"/>
  <c r="I87" i="33"/>
  <c r="H87" i="33"/>
  <c r="G87" i="33"/>
  <c r="F87" i="33"/>
  <c r="E87" i="33"/>
  <c r="D87" i="33"/>
  <c r="C87" i="33"/>
  <c r="B87" i="33"/>
  <c r="A87" i="33"/>
  <c r="I86" i="33"/>
  <c r="H86" i="33"/>
  <c r="G86" i="33"/>
  <c r="F86" i="33"/>
  <c r="E86" i="33"/>
  <c r="D86" i="33"/>
  <c r="C86" i="33"/>
  <c r="Q70" i="33"/>
  <c r="P70" i="33"/>
  <c r="O70" i="33"/>
  <c r="N70" i="33"/>
  <c r="M70" i="33"/>
  <c r="L70" i="33"/>
  <c r="K70" i="33"/>
  <c r="Q69" i="33"/>
  <c r="P69" i="33"/>
  <c r="O69" i="33"/>
  <c r="N69" i="33"/>
  <c r="M69" i="33"/>
  <c r="L69" i="33"/>
  <c r="K69" i="33"/>
  <c r="Q68" i="33"/>
  <c r="P68" i="33"/>
  <c r="O68" i="33"/>
  <c r="N68" i="33"/>
  <c r="M68" i="33"/>
  <c r="L68" i="33"/>
  <c r="K68" i="33"/>
  <c r="Q67" i="33"/>
  <c r="P67" i="33"/>
  <c r="O67" i="33"/>
  <c r="N67" i="33"/>
  <c r="M67" i="33"/>
  <c r="L67" i="33"/>
  <c r="K67" i="33"/>
  <c r="Q66" i="33"/>
  <c r="P66" i="33"/>
  <c r="O66" i="33"/>
  <c r="N66" i="33"/>
  <c r="M66" i="33"/>
  <c r="L66" i="33"/>
  <c r="K66" i="33"/>
  <c r="Q65" i="33"/>
  <c r="P65" i="33"/>
  <c r="O65" i="33"/>
  <c r="N65" i="33"/>
  <c r="M65" i="33"/>
  <c r="L65" i="33"/>
  <c r="K65" i="33"/>
  <c r="Q64" i="33"/>
  <c r="P64" i="33"/>
  <c r="O64" i="33"/>
  <c r="N64" i="33"/>
  <c r="M64" i="33"/>
  <c r="L64" i="33"/>
  <c r="M51" i="33"/>
  <c r="K51" i="33"/>
  <c r="J51" i="33"/>
  <c r="I51" i="33"/>
  <c r="F51" i="33"/>
  <c r="E51" i="33"/>
  <c r="D51" i="33"/>
  <c r="B51" i="33"/>
  <c r="A51" i="33"/>
  <c r="AA50" i="33"/>
  <c r="M50" i="33"/>
  <c r="K50" i="33"/>
  <c r="J50" i="33"/>
  <c r="I50" i="33"/>
  <c r="F50" i="33"/>
  <c r="E50" i="33"/>
  <c r="D50" i="33"/>
  <c r="B50" i="33"/>
  <c r="A50" i="33"/>
  <c r="AA49" i="33"/>
  <c r="M49" i="33"/>
  <c r="K49" i="33"/>
  <c r="J49" i="33"/>
  <c r="I49" i="33"/>
  <c r="F49" i="33"/>
  <c r="E49" i="33"/>
  <c r="D49" i="33"/>
  <c r="B49" i="33"/>
  <c r="A49" i="33"/>
  <c r="AA48" i="33"/>
  <c r="M48" i="33"/>
  <c r="K48" i="33"/>
  <c r="J48" i="33"/>
  <c r="I48" i="33"/>
  <c r="F48" i="33"/>
  <c r="E48" i="33"/>
  <c r="D48" i="33"/>
  <c r="B48" i="33"/>
  <c r="A48" i="33"/>
  <c r="AA47" i="33"/>
  <c r="M47" i="33"/>
  <c r="K47" i="33"/>
  <c r="J47" i="33"/>
  <c r="I47" i="33"/>
  <c r="F47" i="33"/>
  <c r="E47" i="33"/>
  <c r="D47" i="33"/>
  <c r="B47" i="33"/>
  <c r="A47" i="33"/>
  <c r="K46" i="33"/>
  <c r="J46" i="33"/>
  <c r="I46" i="33"/>
  <c r="F46" i="33"/>
  <c r="E46" i="33"/>
  <c r="D46" i="33"/>
  <c r="B46" i="33"/>
  <c r="A46" i="33"/>
  <c r="M44" i="33"/>
  <c r="K44" i="33"/>
  <c r="J44" i="33"/>
  <c r="I44" i="33"/>
  <c r="F44" i="33"/>
  <c r="E44" i="33"/>
  <c r="D44" i="33"/>
  <c r="B44" i="33"/>
  <c r="A44" i="33"/>
  <c r="AA43" i="33"/>
  <c r="M43" i="33"/>
  <c r="K43" i="33"/>
  <c r="J43" i="33"/>
  <c r="I43" i="33"/>
  <c r="F43" i="33"/>
  <c r="E43" i="33"/>
  <c r="D43" i="33"/>
  <c r="B43" i="33"/>
  <c r="A43" i="33"/>
  <c r="AA42" i="33"/>
  <c r="M42" i="33"/>
  <c r="K42" i="33"/>
  <c r="J42" i="33"/>
  <c r="I42" i="33"/>
  <c r="F42" i="33"/>
  <c r="E42" i="33"/>
  <c r="D42" i="33"/>
  <c r="B42" i="33"/>
  <c r="A42" i="33"/>
  <c r="AA41" i="33"/>
  <c r="M41" i="33"/>
  <c r="K41" i="33"/>
  <c r="J41" i="33"/>
  <c r="I41" i="33"/>
  <c r="F41" i="33"/>
  <c r="E41" i="33"/>
  <c r="D41" i="33"/>
  <c r="B41" i="33"/>
  <c r="A41" i="33"/>
  <c r="AA40" i="33"/>
  <c r="M40" i="33"/>
  <c r="K40" i="33"/>
  <c r="J40" i="33"/>
  <c r="I40" i="33"/>
  <c r="F40" i="33"/>
  <c r="E40" i="33"/>
  <c r="D40" i="33"/>
  <c r="B40" i="33"/>
  <c r="A40" i="33"/>
  <c r="K39" i="33"/>
  <c r="J39" i="33"/>
  <c r="I39" i="33"/>
  <c r="F39" i="33"/>
  <c r="E39" i="33"/>
  <c r="D39" i="33"/>
  <c r="B39" i="33"/>
  <c r="A39" i="33"/>
  <c r="M37" i="33"/>
  <c r="K37" i="33"/>
  <c r="J37" i="33"/>
  <c r="I37" i="33"/>
  <c r="F37" i="33"/>
  <c r="E37" i="33"/>
  <c r="D37" i="33"/>
  <c r="B37" i="33"/>
  <c r="A37" i="33"/>
  <c r="AA36" i="33"/>
  <c r="M36" i="33"/>
  <c r="K36" i="33"/>
  <c r="J36" i="33"/>
  <c r="I36" i="33"/>
  <c r="F36" i="33"/>
  <c r="E36" i="33"/>
  <c r="D36" i="33"/>
  <c r="B36" i="33"/>
  <c r="A36" i="33"/>
  <c r="AA35" i="33"/>
  <c r="M35" i="33"/>
  <c r="K35" i="33"/>
  <c r="J35" i="33"/>
  <c r="I35" i="33"/>
  <c r="F35" i="33"/>
  <c r="E35" i="33"/>
  <c r="D35" i="33"/>
  <c r="B35" i="33"/>
  <c r="A35" i="33"/>
  <c r="AA34" i="33"/>
  <c r="M34" i="33"/>
  <c r="K34" i="33"/>
  <c r="J34" i="33"/>
  <c r="I34" i="33"/>
  <c r="F34" i="33"/>
  <c r="E34" i="33"/>
  <c r="D34" i="33"/>
  <c r="B34" i="33"/>
  <c r="A34" i="33"/>
  <c r="AA33" i="33"/>
  <c r="M33" i="33"/>
  <c r="K33" i="33"/>
  <c r="J33" i="33"/>
  <c r="I33" i="33"/>
  <c r="F33" i="33"/>
  <c r="E33" i="33"/>
  <c r="D33" i="33"/>
  <c r="B33" i="33"/>
  <c r="A33" i="33"/>
  <c r="K32" i="33"/>
  <c r="J32" i="33"/>
  <c r="I32" i="33"/>
  <c r="F32" i="33"/>
  <c r="E32" i="33"/>
  <c r="D32" i="33"/>
  <c r="B32" i="33"/>
  <c r="A32" i="33"/>
  <c r="M30" i="33"/>
  <c r="K30" i="33"/>
  <c r="J30" i="33"/>
  <c r="I30" i="33"/>
  <c r="F30" i="33"/>
  <c r="E30" i="33"/>
  <c r="D30" i="33"/>
  <c r="B30" i="33"/>
  <c r="A30" i="33"/>
  <c r="AA29" i="33"/>
  <c r="M29" i="33"/>
  <c r="K29" i="33"/>
  <c r="J29" i="33"/>
  <c r="I29" i="33"/>
  <c r="F29" i="33"/>
  <c r="E29" i="33"/>
  <c r="D29" i="33"/>
  <c r="B29" i="33"/>
  <c r="A29" i="33"/>
  <c r="AA28" i="33"/>
  <c r="M28" i="33"/>
  <c r="K28" i="33"/>
  <c r="J28" i="33"/>
  <c r="I28" i="33"/>
  <c r="F28" i="33"/>
  <c r="E28" i="33"/>
  <c r="D28" i="33"/>
  <c r="B28" i="33"/>
  <c r="A28" i="33"/>
  <c r="AA27" i="33"/>
  <c r="M27" i="33"/>
  <c r="K27" i="33"/>
  <c r="J27" i="33"/>
  <c r="I27" i="33"/>
  <c r="F27" i="33"/>
  <c r="E27" i="33"/>
  <c r="D27" i="33"/>
  <c r="B27" i="33"/>
  <c r="A27" i="33"/>
  <c r="AA26" i="33"/>
  <c r="M26" i="33"/>
  <c r="K26" i="33"/>
  <c r="J26" i="33"/>
  <c r="I26" i="33"/>
  <c r="F26" i="33"/>
  <c r="E26" i="33"/>
  <c r="D26" i="33"/>
  <c r="B26" i="33"/>
  <c r="A26" i="33"/>
  <c r="K25" i="33"/>
  <c r="J25" i="33"/>
  <c r="I25" i="33"/>
  <c r="F25" i="33"/>
  <c r="E25" i="33"/>
  <c r="D25" i="33"/>
  <c r="B25" i="33"/>
  <c r="A25" i="33"/>
  <c r="M24" i="33"/>
  <c r="M23" i="33"/>
  <c r="K23" i="33"/>
  <c r="J23" i="33"/>
  <c r="I23" i="33"/>
  <c r="F23" i="33"/>
  <c r="E23" i="33"/>
  <c r="D23" i="33"/>
  <c r="B23" i="33"/>
  <c r="A23" i="33"/>
  <c r="AA22" i="33"/>
  <c r="M22" i="33"/>
  <c r="K22" i="33"/>
  <c r="J22" i="33"/>
  <c r="I22" i="33"/>
  <c r="F22" i="33"/>
  <c r="E22" i="33"/>
  <c r="D22" i="33"/>
  <c r="B22" i="33"/>
  <c r="A22" i="33"/>
  <c r="AA21" i="33"/>
  <c r="M21" i="33"/>
  <c r="K21" i="33"/>
  <c r="J21" i="33"/>
  <c r="I21" i="33"/>
  <c r="F21" i="33"/>
  <c r="E21" i="33"/>
  <c r="D21" i="33"/>
  <c r="B21" i="33"/>
  <c r="A21" i="33"/>
  <c r="AA20" i="33"/>
  <c r="M20" i="33"/>
  <c r="K20" i="33"/>
  <c r="J20" i="33"/>
  <c r="I20" i="33"/>
  <c r="F20" i="33"/>
  <c r="E20" i="33"/>
  <c r="D20" i="33"/>
  <c r="B20" i="33"/>
  <c r="A20" i="33"/>
  <c r="AA19" i="33"/>
  <c r="M19" i="33"/>
  <c r="K19" i="33"/>
  <c r="J19" i="33"/>
  <c r="I19" i="33"/>
  <c r="F19" i="33"/>
  <c r="E19" i="33"/>
  <c r="D19" i="33"/>
  <c r="B19" i="33"/>
  <c r="A19" i="33"/>
  <c r="K18" i="33"/>
  <c r="J18" i="33"/>
  <c r="I18" i="33"/>
  <c r="F18" i="33"/>
  <c r="E18" i="33"/>
  <c r="D18" i="33"/>
  <c r="B18" i="33"/>
  <c r="A18" i="33"/>
  <c r="M16" i="33"/>
  <c r="K16" i="33"/>
  <c r="J16" i="33"/>
  <c r="I16" i="33"/>
  <c r="F16" i="33"/>
  <c r="E16" i="33"/>
  <c r="B16" i="33"/>
  <c r="A16" i="33"/>
  <c r="AA15" i="33"/>
  <c r="M15" i="33"/>
  <c r="K15" i="33"/>
  <c r="J15" i="33"/>
  <c r="I15" i="33"/>
  <c r="F15" i="33"/>
  <c r="E15" i="33"/>
  <c r="B15" i="33"/>
  <c r="A15" i="33"/>
  <c r="AA14" i="33"/>
  <c r="M14" i="33"/>
  <c r="K14" i="33"/>
  <c r="J14" i="33"/>
  <c r="I14" i="33"/>
  <c r="F14" i="33"/>
  <c r="E14" i="33"/>
  <c r="B14" i="33"/>
  <c r="A14" i="33"/>
  <c r="AA13" i="33"/>
  <c r="M13" i="33"/>
  <c r="K13" i="33"/>
  <c r="J13" i="33"/>
  <c r="I13" i="33"/>
  <c r="F13" i="33"/>
  <c r="E13" i="33"/>
  <c r="B13" i="33"/>
  <c r="A13" i="33"/>
  <c r="AA12" i="33"/>
  <c r="M12" i="33"/>
  <c r="K12" i="33"/>
  <c r="J12" i="33"/>
  <c r="I12" i="33"/>
  <c r="F12" i="33"/>
  <c r="E12" i="33"/>
  <c r="B12" i="33"/>
  <c r="A12" i="33"/>
  <c r="K11" i="33"/>
  <c r="J11" i="33"/>
  <c r="I11" i="33"/>
  <c r="F11" i="33"/>
  <c r="E11" i="33"/>
  <c r="B11" i="33"/>
  <c r="A11" i="33"/>
  <c r="AA10" i="33"/>
  <c r="AA9" i="33"/>
  <c r="P7" i="33"/>
  <c r="J7" i="33"/>
  <c r="P6" i="33"/>
  <c r="J6" i="33"/>
  <c r="C6" i="33"/>
  <c r="P5" i="33"/>
  <c r="J5" i="33"/>
  <c r="P4" i="33"/>
  <c r="I92" i="28"/>
  <c r="H92" i="28"/>
  <c r="G92" i="28"/>
  <c r="F92" i="28"/>
  <c r="E92" i="28"/>
  <c r="D92" i="28"/>
  <c r="C92" i="28"/>
  <c r="B92" i="28"/>
  <c r="A92" i="28"/>
  <c r="I91" i="28"/>
  <c r="H91" i="28"/>
  <c r="G91" i="28"/>
  <c r="F91" i="28"/>
  <c r="E91" i="28"/>
  <c r="D91" i="28"/>
  <c r="C91" i="28"/>
  <c r="B91" i="28"/>
  <c r="A91" i="28"/>
  <c r="I90" i="28"/>
  <c r="H90" i="28"/>
  <c r="G90" i="28"/>
  <c r="F90" i="28"/>
  <c r="E90" i="28"/>
  <c r="D90" i="28"/>
  <c r="C90" i="28"/>
  <c r="B90" i="28"/>
  <c r="A90" i="28"/>
  <c r="I89" i="28"/>
  <c r="H89" i="28"/>
  <c r="G89" i="28"/>
  <c r="F89" i="28"/>
  <c r="E89" i="28"/>
  <c r="D89" i="28"/>
  <c r="C89" i="28"/>
  <c r="B89" i="28"/>
  <c r="A89" i="28"/>
  <c r="I88" i="28"/>
  <c r="H88" i="28"/>
  <c r="G88" i="28"/>
  <c r="F88" i="28"/>
  <c r="E88" i="28"/>
  <c r="D88" i="28"/>
  <c r="C88" i="28"/>
  <c r="B88" i="28"/>
  <c r="A88" i="28"/>
  <c r="I87" i="28"/>
  <c r="H87" i="28"/>
  <c r="G87" i="28"/>
  <c r="F87" i="28"/>
  <c r="E87" i="28"/>
  <c r="D87" i="28"/>
  <c r="C87" i="28"/>
  <c r="B87" i="28"/>
  <c r="A87" i="28"/>
  <c r="I86" i="28"/>
  <c r="H86" i="28"/>
  <c r="G86" i="28"/>
  <c r="F86" i="28"/>
  <c r="E86" i="28"/>
  <c r="D86" i="28"/>
  <c r="C86" i="28"/>
  <c r="Q70" i="28"/>
  <c r="P70" i="28"/>
  <c r="O70" i="28"/>
  <c r="N70" i="28"/>
  <c r="M70" i="28"/>
  <c r="L70" i="28"/>
  <c r="K70" i="28"/>
  <c r="Q69" i="28"/>
  <c r="P69" i="28"/>
  <c r="O69" i="28"/>
  <c r="N69" i="28"/>
  <c r="M69" i="28"/>
  <c r="L69" i="28"/>
  <c r="K69" i="28"/>
  <c r="Q68" i="28"/>
  <c r="P68" i="28"/>
  <c r="O68" i="28"/>
  <c r="N68" i="28"/>
  <c r="M68" i="28"/>
  <c r="L68" i="28"/>
  <c r="K68" i="28"/>
  <c r="Q67" i="28"/>
  <c r="P67" i="28"/>
  <c r="O67" i="28"/>
  <c r="N67" i="28"/>
  <c r="M67" i="28"/>
  <c r="L67" i="28"/>
  <c r="K67" i="28"/>
  <c r="Q66" i="28"/>
  <c r="P66" i="28"/>
  <c r="O66" i="28"/>
  <c r="N66" i="28"/>
  <c r="M66" i="28"/>
  <c r="L66" i="28"/>
  <c r="K66" i="28"/>
  <c r="Q65" i="28"/>
  <c r="P65" i="28"/>
  <c r="O65" i="28"/>
  <c r="N65" i="28"/>
  <c r="M65" i="28"/>
  <c r="L65" i="28"/>
  <c r="K65" i="28"/>
  <c r="Q64" i="28"/>
  <c r="P64" i="28"/>
  <c r="O64" i="28"/>
  <c r="N64" i="28"/>
  <c r="M64" i="28"/>
  <c r="L64" i="28"/>
  <c r="M51" i="28"/>
  <c r="K51" i="28"/>
  <c r="J51" i="28"/>
  <c r="I51" i="28"/>
  <c r="F51" i="28"/>
  <c r="E51" i="28"/>
  <c r="B51" i="28"/>
  <c r="A51" i="28"/>
  <c r="AA50" i="28"/>
  <c r="M50" i="28"/>
  <c r="K50" i="28"/>
  <c r="J50" i="28"/>
  <c r="I50" i="28"/>
  <c r="F50" i="28"/>
  <c r="E50" i="28"/>
  <c r="B50" i="28"/>
  <c r="A50" i="28"/>
  <c r="AA49" i="28"/>
  <c r="M49" i="28"/>
  <c r="K49" i="28"/>
  <c r="J49" i="28"/>
  <c r="I49" i="28"/>
  <c r="F49" i="28"/>
  <c r="E49" i="28"/>
  <c r="B49" i="28"/>
  <c r="A49" i="28"/>
  <c r="AA48" i="28"/>
  <c r="M48" i="28"/>
  <c r="K48" i="28"/>
  <c r="J48" i="28"/>
  <c r="I48" i="28"/>
  <c r="F48" i="28"/>
  <c r="E48" i="28"/>
  <c r="B48" i="28"/>
  <c r="A48" i="28"/>
  <c r="AA47" i="28"/>
  <c r="M47" i="28"/>
  <c r="K47" i="28"/>
  <c r="J47" i="28"/>
  <c r="I47" i="28"/>
  <c r="F47" i="28"/>
  <c r="E47" i="28"/>
  <c r="B47" i="28"/>
  <c r="A47" i="28"/>
  <c r="K46" i="28"/>
  <c r="J46" i="28"/>
  <c r="I46" i="28"/>
  <c r="F46" i="28"/>
  <c r="E46" i="28"/>
  <c r="B46" i="28"/>
  <c r="A46" i="28"/>
  <c r="M44" i="28"/>
  <c r="K44" i="28"/>
  <c r="J44" i="28"/>
  <c r="I44" i="28"/>
  <c r="F44" i="28"/>
  <c r="E44" i="28"/>
  <c r="B44" i="28"/>
  <c r="A44" i="28"/>
  <c r="AA43" i="28"/>
  <c r="M43" i="28"/>
  <c r="K43" i="28"/>
  <c r="J43" i="28"/>
  <c r="I43" i="28"/>
  <c r="F43" i="28"/>
  <c r="E43" i="28"/>
  <c r="B43" i="28"/>
  <c r="A43" i="28"/>
  <c r="AA42" i="28"/>
  <c r="M42" i="28"/>
  <c r="K42" i="28"/>
  <c r="J42" i="28"/>
  <c r="I42" i="28"/>
  <c r="F42" i="28"/>
  <c r="E42" i="28"/>
  <c r="B42" i="28"/>
  <c r="A42" i="28"/>
  <c r="AA41" i="28"/>
  <c r="M41" i="28"/>
  <c r="K41" i="28"/>
  <c r="J41" i="28"/>
  <c r="I41" i="28"/>
  <c r="F41" i="28"/>
  <c r="E41" i="28"/>
  <c r="B41" i="28"/>
  <c r="A41" i="28"/>
  <c r="AA40" i="28"/>
  <c r="M40" i="28"/>
  <c r="K40" i="28"/>
  <c r="J40" i="28"/>
  <c r="I40" i="28"/>
  <c r="F40" i="28"/>
  <c r="E40" i="28"/>
  <c r="B40" i="28"/>
  <c r="A40" i="28"/>
  <c r="K39" i="28"/>
  <c r="J39" i="28"/>
  <c r="I39" i="28"/>
  <c r="F39" i="28"/>
  <c r="E39" i="28"/>
  <c r="B39" i="28"/>
  <c r="A39" i="28"/>
  <c r="M37" i="28"/>
  <c r="K37" i="28"/>
  <c r="J37" i="28"/>
  <c r="I37" i="28"/>
  <c r="F37" i="28"/>
  <c r="E37" i="28"/>
  <c r="B37" i="28"/>
  <c r="A37" i="28"/>
  <c r="AA36" i="28"/>
  <c r="M36" i="28"/>
  <c r="K36" i="28"/>
  <c r="J36" i="28"/>
  <c r="I36" i="28"/>
  <c r="F36" i="28"/>
  <c r="E36" i="28"/>
  <c r="B36" i="28"/>
  <c r="A36" i="28"/>
  <c r="AA35" i="28"/>
  <c r="M35" i="28"/>
  <c r="K35" i="28"/>
  <c r="J35" i="28"/>
  <c r="I35" i="28"/>
  <c r="F35" i="28"/>
  <c r="E35" i="28"/>
  <c r="B35" i="28"/>
  <c r="A35" i="28"/>
  <c r="AA34" i="28"/>
  <c r="M34" i="28"/>
  <c r="K34" i="28"/>
  <c r="J34" i="28"/>
  <c r="I34" i="28"/>
  <c r="F34" i="28"/>
  <c r="E34" i="28"/>
  <c r="B34" i="28"/>
  <c r="A34" i="28"/>
  <c r="AA33" i="28"/>
  <c r="M33" i="28"/>
  <c r="K33" i="28"/>
  <c r="J33" i="28"/>
  <c r="I33" i="28"/>
  <c r="F33" i="28"/>
  <c r="E33" i="28"/>
  <c r="B33" i="28"/>
  <c r="A33" i="28"/>
  <c r="K32" i="28"/>
  <c r="J32" i="28"/>
  <c r="I32" i="28"/>
  <c r="F32" i="28"/>
  <c r="E32" i="28"/>
  <c r="B32" i="28"/>
  <c r="A32" i="28"/>
  <c r="M30" i="28"/>
  <c r="K30" i="28"/>
  <c r="J30" i="28"/>
  <c r="I30" i="28"/>
  <c r="F30" i="28"/>
  <c r="E30" i="28"/>
  <c r="B30" i="28"/>
  <c r="A30" i="28"/>
  <c r="AA29" i="28"/>
  <c r="M29" i="28"/>
  <c r="K29" i="28"/>
  <c r="J29" i="28"/>
  <c r="I29" i="28"/>
  <c r="F29" i="28"/>
  <c r="E29" i="28"/>
  <c r="B29" i="28"/>
  <c r="A29" i="28"/>
  <c r="AA28" i="28"/>
  <c r="M28" i="28"/>
  <c r="K28" i="28"/>
  <c r="J28" i="28"/>
  <c r="I28" i="28"/>
  <c r="F28" i="28"/>
  <c r="E28" i="28"/>
  <c r="B28" i="28"/>
  <c r="A28" i="28"/>
  <c r="AA27" i="28"/>
  <c r="M27" i="28"/>
  <c r="K27" i="28"/>
  <c r="J27" i="28"/>
  <c r="I27" i="28"/>
  <c r="F27" i="28"/>
  <c r="E27" i="28"/>
  <c r="B27" i="28"/>
  <c r="A27" i="28"/>
  <c r="AA26" i="28"/>
  <c r="M26" i="28"/>
  <c r="K26" i="28"/>
  <c r="J26" i="28"/>
  <c r="I26" i="28"/>
  <c r="F26" i="28"/>
  <c r="E26" i="28"/>
  <c r="B26" i="28"/>
  <c r="A26" i="28"/>
  <c r="K25" i="28"/>
  <c r="J25" i="28"/>
  <c r="I25" i="28"/>
  <c r="F25" i="28"/>
  <c r="E25" i="28"/>
  <c r="B25" i="28"/>
  <c r="A25" i="28"/>
  <c r="M23" i="28"/>
  <c r="K23" i="28"/>
  <c r="J23" i="28"/>
  <c r="I23" i="28"/>
  <c r="F23" i="28"/>
  <c r="E23" i="28"/>
  <c r="B23" i="28"/>
  <c r="A23" i="28"/>
  <c r="AA22" i="28"/>
  <c r="M22" i="28"/>
  <c r="K22" i="28"/>
  <c r="J22" i="28"/>
  <c r="I22" i="28"/>
  <c r="F22" i="28"/>
  <c r="E22" i="28"/>
  <c r="B22" i="28"/>
  <c r="A22" i="28"/>
  <c r="AA21" i="28"/>
  <c r="M21" i="28"/>
  <c r="K21" i="28"/>
  <c r="J21" i="28"/>
  <c r="I21" i="28"/>
  <c r="F21" i="28"/>
  <c r="E21" i="28"/>
  <c r="B21" i="28"/>
  <c r="A21" i="28"/>
  <c r="AA20" i="28"/>
  <c r="M20" i="28"/>
  <c r="K20" i="28"/>
  <c r="J20" i="28"/>
  <c r="I20" i="28"/>
  <c r="F20" i="28"/>
  <c r="E20" i="28"/>
  <c r="B20" i="28"/>
  <c r="A20" i="28"/>
  <c r="AA19" i="28"/>
  <c r="M19" i="28"/>
  <c r="K19" i="28"/>
  <c r="J19" i="28"/>
  <c r="I19" i="28"/>
  <c r="F19" i="28"/>
  <c r="E19" i="28"/>
  <c r="B19" i="28"/>
  <c r="A19" i="28"/>
  <c r="K18" i="28"/>
  <c r="J18" i="28"/>
  <c r="I18" i="28"/>
  <c r="F18" i="28"/>
  <c r="E18" i="28"/>
  <c r="B18" i="28"/>
  <c r="A18" i="28"/>
  <c r="M16" i="28"/>
  <c r="K16" i="28"/>
  <c r="J16" i="28"/>
  <c r="I16" i="28"/>
  <c r="F16" i="28"/>
  <c r="E16" i="28"/>
  <c r="B16" i="28"/>
  <c r="A16" i="28"/>
  <c r="AA15" i="28"/>
  <c r="M15" i="28"/>
  <c r="K15" i="28"/>
  <c r="J15" i="28"/>
  <c r="I15" i="28"/>
  <c r="F15" i="28"/>
  <c r="E15" i="28"/>
  <c r="B15" i="28"/>
  <c r="A15" i="28"/>
  <c r="AA14" i="28"/>
  <c r="M14" i="28"/>
  <c r="K14" i="28"/>
  <c r="J14" i="28"/>
  <c r="I14" i="28"/>
  <c r="F14" i="28"/>
  <c r="E14" i="28"/>
  <c r="B14" i="28"/>
  <c r="A14" i="28"/>
  <c r="AA13" i="28"/>
  <c r="M13" i="28"/>
  <c r="K13" i="28"/>
  <c r="J13" i="28"/>
  <c r="I13" i="28"/>
  <c r="F13" i="28"/>
  <c r="E13" i="28"/>
  <c r="B13" i="28"/>
  <c r="A13" i="28"/>
  <c r="AA12" i="28"/>
  <c r="M12" i="28"/>
  <c r="K12" i="28"/>
  <c r="J12" i="28"/>
  <c r="I12" i="28"/>
  <c r="F12" i="28"/>
  <c r="E12" i="28"/>
  <c r="B12" i="28"/>
  <c r="A12" i="28"/>
  <c r="K11" i="28"/>
  <c r="J11" i="28"/>
  <c r="I11" i="28"/>
  <c r="F11" i="28"/>
  <c r="E11" i="28"/>
  <c r="B11" i="28"/>
  <c r="A11" i="28"/>
  <c r="AA10" i="28"/>
  <c r="AA9" i="28"/>
  <c r="P7" i="28"/>
  <c r="J7" i="28"/>
  <c r="P6" i="28"/>
  <c r="J6" i="28"/>
  <c r="C6" i="28"/>
  <c r="P5" i="28"/>
  <c r="J5" i="28"/>
  <c r="P4" i="28"/>
  <c r="I92" i="30"/>
  <c r="H92" i="30"/>
  <c r="G92" i="30"/>
  <c r="F92" i="30"/>
  <c r="E92" i="30"/>
  <c r="D92" i="30"/>
  <c r="C92" i="30"/>
  <c r="B92" i="30"/>
  <c r="A92" i="30"/>
  <c r="I91" i="30"/>
  <c r="H91" i="30"/>
  <c r="G91" i="30"/>
  <c r="F91" i="30"/>
  <c r="E91" i="30"/>
  <c r="D91" i="30"/>
  <c r="C91" i="30"/>
  <c r="B91" i="30"/>
  <c r="A91" i="30"/>
  <c r="I90" i="30"/>
  <c r="H90" i="30"/>
  <c r="G90" i="30"/>
  <c r="F90" i="30"/>
  <c r="E90" i="30"/>
  <c r="D90" i="30"/>
  <c r="C90" i="30"/>
  <c r="B90" i="30"/>
  <c r="A90" i="30"/>
  <c r="I89" i="30"/>
  <c r="H89" i="30"/>
  <c r="G89" i="30"/>
  <c r="F89" i="30"/>
  <c r="E89" i="30"/>
  <c r="D89" i="30"/>
  <c r="C89" i="30"/>
  <c r="B89" i="30"/>
  <c r="A89" i="30"/>
  <c r="I88" i="30"/>
  <c r="H88" i="30"/>
  <c r="G88" i="30"/>
  <c r="F88" i="30"/>
  <c r="E88" i="30"/>
  <c r="D88" i="30"/>
  <c r="C88" i="30"/>
  <c r="B88" i="30"/>
  <c r="A88" i="30"/>
  <c r="I87" i="30"/>
  <c r="H87" i="30"/>
  <c r="G87" i="30"/>
  <c r="F87" i="30"/>
  <c r="E87" i="30"/>
  <c r="D87" i="30"/>
  <c r="C87" i="30"/>
  <c r="B87" i="30"/>
  <c r="A87" i="30"/>
  <c r="I86" i="30"/>
  <c r="H86" i="30"/>
  <c r="G86" i="30"/>
  <c r="F86" i="30"/>
  <c r="E86" i="30"/>
  <c r="D86" i="30"/>
  <c r="C86" i="30"/>
  <c r="Q70" i="30"/>
  <c r="P70" i="30"/>
  <c r="O70" i="30"/>
  <c r="N70" i="30"/>
  <c r="M70" i="30"/>
  <c r="L70" i="30"/>
  <c r="K70" i="30"/>
  <c r="Q69" i="30"/>
  <c r="P69" i="30"/>
  <c r="O69" i="30"/>
  <c r="N69" i="30"/>
  <c r="M69" i="30"/>
  <c r="L69" i="30"/>
  <c r="K69" i="30"/>
  <c r="Q68" i="30"/>
  <c r="P68" i="30"/>
  <c r="O68" i="30"/>
  <c r="N68" i="30"/>
  <c r="M68" i="30"/>
  <c r="L68" i="30"/>
  <c r="K68" i="30"/>
  <c r="Q67" i="30"/>
  <c r="P67" i="30"/>
  <c r="O67" i="30"/>
  <c r="N67" i="30"/>
  <c r="M67" i="30"/>
  <c r="L67" i="30"/>
  <c r="K67" i="30"/>
  <c r="Q66" i="30"/>
  <c r="P66" i="30"/>
  <c r="O66" i="30"/>
  <c r="N66" i="30"/>
  <c r="M66" i="30"/>
  <c r="L66" i="30"/>
  <c r="K66" i="30"/>
  <c r="Q65" i="30"/>
  <c r="P65" i="30"/>
  <c r="O65" i="30"/>
  <c r="N65" i="30"/>
  <c r="M65" i="30"/>
  <c r="L65" i="30"/>
  <c r="K65" i="30"/>
  <c r="Q64" i="30"/>
  <c r="P64" i="30"/>
  <c r="O64" i="30"/>
  <c r="N64" i="30"/>
  <c r="M64" i="30"/>
  <c r="L64" i="30"/>
  <c r="M51" i="30"/>
  <c r="K51" i="30"/>
  <c r="J51" i="30"/>
  <c r="I51" i="30"/>
  <c r="F51" i="30"/>
  <c r="E51" i="30"/>
  <c r="B51" i="30"/>
  <c r="A51" i="30"/>
  <c r="AA50" i="30"/>
  <c r="M50" i="30"/>
  <c r="K50" i="30"/>
  <c r="J50" i="30"/>
  <c r="I50" i="30"/>
  <c r="F50" i="30"/>
  <c r="E50" i="30"/>
  <c r="B50" i="30"/>
  <c r="A50" i="30"/>
  <c r="AA49" i="30"/>
  <c r="M49" i="30"/>
  <c r="K49" i="30"/>
  <c r="J49" i="30"/>
  <c r="I49" i="30"/>
  <c r="F49" i="30"/>
  <c r="E49" i="30"/>
  <c r="B49" i="30"/>
  <c r="A49" i="30"/>
  <c r="AA48" i="30"/>
  <c r="M48" i="30"/>
  <c r="K48" i="30"/>
  <c r="J48" i="30"/>
  <c r="I48" i="30"/>
  <c r="F48" i="30"/>
  <c r="E48" i="30"/>
  <c r="B48" i="30"/>
  <c r="A48" i="30"/>
  <c r="AA47" i="30"/>
  <c r="M47" i="30"/>
  <c r="K47" i="30"/>
  <c r="J47" i="30"/>
  <c r="I47" i="30"/>
  <c r="F47" i="30"/>
  <c r="E47" i="30"/>
  <c r="B47" i="30"/>
  <c r="A47" i="30"/>
  <c r="K46" i="30"/>
  <c r="J46" i="30"/>
  <c r="I46" i="30"/>
  <c r="F46" i="30"/>
  <c r="E46" i="30"/>
  <c r="B46" i="30"/>
  <c r="A46" i="30"/>
  <c r="M44" i="30"/>
  <c r="K44" i="30"/>
  <c r="J44" i="30"/>
  <c r="I44" i="30"/>
  <c r="F44" i="30"/>
  <c r="E44" i="30"/>
  <c r="D44" i="30"/>
  <c r="B44" i="30"/>
  <c r="A44" i="30"/>
  <c r="AA43" i="30"/>
  <c r="M43" i="30"/>
  <c r="K43" i="30"/>
  <c r="J43" i="30"/>
  <c r="I43" i="30"/>
  <c r="F43" i="30"/>
  <c r="E43" i="30"/>
  <c r="D43" i="30"/>
  <c r="B43" i="30"/>
  <c r="A43" i="30"/>
  <c r="AA42" i="30"/>
  <c r="M42" i="30"/>
  <c r="K42" i="30"/>
  <c r="J42" i="30"/>
  <c r="I42" i="30"/>
  <c r="F42" i="30"/>
  <c r="E42" i="30"/>
  <c r="D42" i="30"/>
  <c r="B42" i="30"/>
  <c r="A42" i="30"/>
  <c r="AA41" i="30"/>
  <c r="M41" i="30"/>
  <c r="K41" i="30"/>
  <c r="J41" i="30"/>
  <c r="I41" i="30"/>
  <c r="F41" i="30"/>
  <c r="E41" i="30"/>
  <c r="D41" i="30"/>
  <c r="B41" i="30"/>
  <c r="A41" i="30"/>
  <c r="AA40" i="30"/>
  <c r="M40" i="30"/>
  <c r="K40" i="30"/>
  <c r="J40" i="30"/>
  <c r="I40" i="30"/>
  <c r="F40" i="30"/>
  <c r="E40" i="30"/>
  <c r="D40" i="30"/>
  <c r="B40" i="30"/>
  <c r="A40" i="30"/>
  <c r="K39" i="30"/>
  <c r="J39" i="30"/>
  <c r="I39" i="30"/>
  <c r="F39" i="30"/>
  <c r="E39" i="30"/>
  <c r="D39" i="30"/>
  <c r="B39" i="30"/>
  <c r="A39" i="30"/>
  <c r="M37" i="30"/>
  <c r="K37" i="30"/>
  <c r="J37" i="30"/>
  <c r="I37" i="30"/>
  <c r="F37" i="30"/>
  <c r="E37" i="30"/>
  <c r="D37" i="30"/>
  <c r="B37" i="30"/>
  <c r="A37" i="30"/>
  <c r="AA36" i="30"/>
  <c r="M36" i="30"/>
  <c r="K36" i="30"/>
  <c r="J36" i="30"/>
  <c r="I36" i="30"/>
  <c r="F36" i="30"/>
  <c r="E36" i="30"/>
  <c r="D36" i="30"/>
  <c r="B36" i="30"/>
  <c r="A36" i="30"/>
  <c r="AA35" i="30"/>
  <c r="M35" i="30"/>
  <c r="K35" i="30"/>
  <c r="J35" i="30"/>
  <c r="I35" i="30"/>
  <c r="F35" i="30"/>
  <c r="E35" i="30"/>
  <c r="D35" i="30"/>
  <c r="B35" i="30"/>
  <c r="A35" i="30"/>
  <c r="AA34" i="30"/>
  <c r="M34" i="30"/>
  <c r="K34" i="30"/>
  <c r="J34" i="30"/>
  <c r="I34" i="30"/>
  <c r="F34" i="30"/>
  <c r="E34" i="30"/>
  <c r="D34" i="30"/>
  <c r="B34" i="30"/>
  <c r="A34" i="30"/>
  <c r="AA33" i="30"/>
  <c r="M33" i="30"/>
  <c r="K33" i="30"/>
  <c r="J33" i="30"/>
  <c r="I33" i="30"/>
  <c r="F33" i="30"/>
  <c r="E33" i="30"/>
  <c r="D33" i="30"/>
  <c r="B33" i="30"/>
  <c r="A33" i="30"/>
  <c r="K32" i="30"/>
  <c r="J32" i="30"/>
  <c r="I32" i="30"/>
  <c r="F32" i="30"/>
  <c r="E32" i="30"/>
  <c r="D32" i="30"/>
  <c r="B32" i="30"/>
  <c r="A32" i="30"/>
  <c r="M30" i="30"/>
  <c r="K30" i="30"/>
  <c r="J30" i="30"/>
  <c r="I30" i="30"/>
  <c r="F30" i="30"/>
  <c r="E30" i="30"/>
  <c r="D30" i="30"/>
  <c r="B30" i="30"/>
  <c r="A30" i="30"/>
  <c r="AA29" i="30"/>
  <c r="M29" i="30"/>
  <c r="K29" i="30"/>
  <c r="J29" i="30"/>
  <c r="I29" i="30"/>
  <c r="F29" i="30"/>
  <c r="E29" i="30"/>
  <c r="D29" i="30"/>
  <c r="B29" i="30"/>
  <c r="A29" i="30"/>
  <c r="AA28" i="30"/>
  <c r="M28" i="30"/>
  <c r="K28" i="30"/>
  <c r="J28" i="30"/>
  <c r="I28" i="30"/>
  <c r="F28" i="30"/>
  <c r="E28" i="30"/>
  <c r="D28" i="30"/>
  <c r="B28" i="30"/>
  <c r="A28" i="30"/>
  <c r="AA27" i="30"/>
  <c r="M27" i="30"/>
  <c r="K27" i="30"/>
  <c r="J27" i="30"/>
  <c r="I27" i="30"/>
  <c r="F27" i="30"/>
  <c r="E27" i="30"/>
  <c r="D27" i="30"/>
  <c r="B27" i="30"/>
  <c r="A27" i="30"/>
  <c r="AA26" i="30"/>
  <c r="M26" i="30"/>
  <c r="K26" i="30"/>
  <c r="J26" i="30"/>
  <c r="I26" i="30"/>
  <c r="F26" i="30"/>
  <c r="E26" i="30"/>
  <c r="D26" i="30"/>
  <c r="B26" i="30"/>
  <c r="A26" i="30"/>
  <c r="K25" i="30"/>
  <c r="J25" i="30"/>
  <c r="I25" i="30"/>
  <c r="F25" i="30"/>
  <c r="E25" i="30"/>
  <c r="D25" i="30"/>
  <c r="B25" i="30"/>
  <c r="A25" i="30"/>
  <c r="M24" i="30"/>
  <c r="M23" i="30"/>
  <c r="K23" i="30"/>
  <c r="J23" i="30"/>
  <c r="I23" i="30"/>
  <c r="F23" i="30"/>
  <c r="E23" i="30"/>
  <c r="D23" i="30"/>
  <c r="B23" i="30"/>
  <c r="A23" i="30"/>
  <c r="AA22" i="30"/>
  <c r="M22" i="30"/>
  <c r="K22" i="30"/>
  <c r="J22" i="30"/>
  <c r="I22" i="30"/>
  <c r="F22" i="30"/>
  <c r="E22" i="30"/>
  <c r="D22" i="30"/>
  <c r="B22" i="30"/>
  <c r="A22" i="30"/>
  <c r="AA21" i="30"/>
  <c r="M21" i="30"/>
  <c r="K21" i="30"/>
  <c r="J21" i="30"/>
  <c r="I21" i="30"/>
  <c r="F21" i="30"/>
  <c r="E21" i="30"/>
  <c r="D21" i="30"/>
  <c r="B21" i="30"/>
  <c r="A21" i="30"/>
  <c r="AA20" i="30"/>
  <c r="M20" i="30"/>
  <c r="K20" i="30"/>
  <c r="J20" i="30"/>
  <c r="I20" i="30"/>
  <c r="F20" i="30"/>
  <c r="E20" i="30"/>
  <c r="D20" i="30"/>
  <c r="B20" i="30"/>
  <c r="A20" i="30"/>
  <c r="AA19" i="30"/>
  <c r="M19" i="30"/>
  <c r="K19" i="30"/>
  <c r="J19" i="30"/>
  <c r="I19" i="30"/>
  <c r="F19" i="30"/>
  <c r="E19" i="30"/>
  <c r="D19" i="30"/>
  <c r="B19" i="30"/>
  <c r="A19" i="30"/>
  <c r="K18" i="30"/>
  <c r="J18" i="30"/>
  <c r="I18" i="30"/>
  <c r="F18" i="30"/>
  <c r="E18" i="30"/>
  <c r="D18" i="30"/>
  <c r="B18" i="30"/>
  <c r="A18" i="30"/>
  <c r="M16" i="30"/>
  <c r="K16" i="30"/>
  <c r="J16" i="30"/>
  <c r="I16" i="30"/>
  <c r="F16" i="30"/>
  <c r="E16" i="30"/>
  <c r="D16" i="30"/>
  <c r="B16" i="30"/>
  <c r="A16" i="30"/>
  <c r="AA15" i="30"/>
  <c r="M15" i="30"/>
  <c r="K15" i="30"/>
  <c r="J15" i="30"/>
  <c r="I15" i="30"/>
  <c r="F15" i="30"/>
  <c r="E15" i="30"/>
  <c r="D15" i="30"/>
  <c r="B15" i="30"/>
  <c r="A15" i="30"/>
  <c r="AA14" i="30"/>
  <c r="M14" i="30"/>
  <c r="K14" i="30"/>
  <c r="J14" i="30"/>
  <c r="I14" i="30"/>
  <c r="F14" i="30"/>
  <c r="E14" i="30"/>
  <c r="D14" i="30"/>
  <c r="B14" i="30"/>
  <c r="A14" i="30"/>
  <c r="AA13" i="30"/>
  <c r="M13" i="30"/>
  <c r="K13" i="30"/>
  <c r="J13" i="30"/>
  <c r="I13" i="30"/>
  <c r="F13" i="30"/>
  <c r="E13" i="30"/>
  <c r="D13" i="30"/>
  <c r="B13" i="30"/>
  <c r="A13" i="30"/>
  <c r="AA12" i="30"/>
  <c r="M12" i="30"/>
  <c r="K12" i="30"/>
  <c r="J12" i="30"/>
  <c r="I12" i="30"/>
  <c r="F12" i="30"/>
  <c r="E12" i="30"/>
  <c r="D12" i="30"/>
  <c r="B12" i="30"/>
  <c r="A12" i="30"/>
  <c r="K11" i="30"/>
  <c r="J11" i="30"/>
  <c r="I11" i="30"/>
  <c r="F11" i="30"/>
  <c r="E11" i="30"/>
  <c r="D11" i="30"/>
  <c r="B11" i="30"/>
  <c r="A11" i="30"/>
  <c r="AA10" i="30"/>
  <c r="AA9" i="30"/>
  <c r="P7" i="30"/>
  <c r="J7" i="30"/>
  <c r="P6" i="30"/>
  <c r="J6" i="30"/>
  <c r="C6" i="30"/>
  <c r="P5" i="30"/>
  <c r="J5" i="30"/>
  <c r="P4" i="30"/>
  <c r="I92" i="31"/>
  <c r="H92" i="31"/>
  <c r="G92" i="31"/>
  <c r="F92" i="31"/>
  <c r="E92" i="31"/>
  <c r="D92" i="31"/>
  <c r="C92" i="31"/>
  <c r="B92" i="31"/>
  <c r="A92" i="31"/>
  <c r="I91" i="31"/>
  <c r="H91" i="31"/>
  <c r="G91" i="31"/>
  <c r="F91" i="31"/>
  <c r="E91" i="31"/>
  <c r="D91" i="31"/>
  <c r="C91" i="31"/>
  <c r="B91" i="31"/>
  <c r="A91" i="31"/>
  <c r="I90" i="31"/>
  <c r="H90" i="31"/>
  <c r="G90" i="31"/>
  <c r="F90" i="31"/>
  <c r="E90" i="31"/>
  <c r="D90" i="31"/>
  <c r="C90" i="31"/>
  <c r="B90" i="31"/>
  <c r="A90" i="31"/>
  <c r="I89" i="31"/>
  <c r="H89" i="31"/>
  <c r="G89" i="31"/>
  <c r="F89" i="31"/>
  <c r="E89" i="31"/>
  <c r="D89" i="31"/>
  <c r="C89" i="31"/>
  <c r="B89" i="31"/>
  <c r="A89" i="31"/>
  <c r="I88" i="31"/>
  <c r="H88" i="31"/>
  <c r="G88" i="31"/>
  <c r="F88" i="31"/>
  <c r="E88" i="31"/>
  <c r="D88" i="31"/>
  <c r="C88" i="31"/>
  <c r="B88" i="31"/>
  <c r="A88" i="31"/>
  <c r="I87" i="31"/>
  <c r="H87" i="31"/>
  <c r="G87" i="31"/>
  <c r="F87" i="31"/>
  <c r="E87" i="31"/>
  <c r="D87" i="31"/>
  <c r="C87" i="31"/>
  <c r="B87" i="31"/>
  <c r="A87" i="31"/>
  <c r="I86" i="31"/>
  <c r="H86" i="31"/>
  <c r="G86" i="31"/>
  <c r="F86" i="31"/>
  <c r="E86" i="31"/>
  <c r="D86" i="31"/>
  <c r="C86" i="31"/>
  <c r="Q70" i="31"/>
  <c r="P70" i="31"/>
  <c r="O70" i="31"/>
  <c r="N70" i="31"/>
  <c r="M70" i="31"/>
  <c r="L70" i="31"/>
  <c r="K70" i="31"/>
  <c r="Q69" i="31"/>
  <c r="P69" i="31"/>
  <c r="O69" i="31"/>
  <c r="N69" i="31"/>
  <c r="M69" i="31"/>
  <c r="L69" i="31"/>
  <c r="K69" i="31"/>
  <c r="Q68" i="31"/>
  <c r="P68" i="31"/>
  <c r="O68" i="31"/>
  <c r="N68" i="31"/>
  <c r="M68" i="31"/>
  <c r="L68" i="31"/>
  <c r="K68" i="31"/>
  <c r="Q67" i="31"/>
  <c r="P67" i="31"/>
  <c r="O67" i="31"/>
  <c r="N67" i="31"/>
  <c r="M67" i="31"/>
  <c r="L67" i="31"/>
  <c r="K67" i="31"/>
  <c r="Q66" i="31"/>
  <c r="P66" i="31"/>
  <c r="O66" i="31"/>
  <c r="N66" i="31"/>
  <c r="M66" i="31"/>
  <c r="L66" i="31"/>
  <c r="K66" i="31"/>
  <c r="Q65" i="31"/>
  <c r="P65" i="31"/>
  <c r="O65" i="31"/>
  <c r="N65" i="31"/>
  <c r="M65" i="31"/>
  <c r="L65" i="31"/>
  <c r="K65" i="31"/>
  <c r="Q64" i="31"/>
  <c r="P64" i="31"/>
  <c r="O64" i="31"/>
  <c r="N64" i="31"/>
  <c r="M64" i="31"/>
  <c r="L64" i="31"/>
  <c r="M51" i="31"/>
  <c r="K51" i="31"/>
  <c r="J51" i="31"/>
  <c r="I51" i="31"/>
  <c r="H51" i="31"/>
  <c r="F51" i="31"/>
  <c r="E51" i="31"/>
  <c r="B51" i="31"/>
  <c r="A51" i="31"/>
  <c r="AA50" i="31"/>
  <c r="M50" i="31"/>
  <c r="K50" i="31"/>
  <c r="J50" i="31"/>
  <c r="I50" i="31"/>
  <c r="F50" i="31"/>
  <c r="E50" i="31"/>
  <c r="B50" i="31"/>
  <c r="A50" i="31"/>
  <c r="AA49" i="31"/>
  <c r="M49" i="31"/>
  <c r="K49" i="31"/>
  <c r="J49" i="31"/>
  <c r="I49" i="31"/>
  <c r="F49" i="31"/>
  <c r="E49" i="31"/>
  <c r="B49" i="31"/>
  <c r="A49" i="31"/>
  <c r="AA48" i="31"/>
  <c r="M48" i="31"/>
  <c r="K48" i="31"/>
  <c r="J48" i="31"/>
  <c r="I48" i="31"/>
  <c r="F48" i="31"/>
  <c r="E48" i="31"/>
  <c r="B48" i="31"/>
  <c r="A48" i="31"/>
  <c r="AA47" i="31"/>
  <c r="M47" i="31"/>
  <c r="K47" i="31"/>
  <c r="J47" i="31"/>
  <c r="I47" i="31"/>
  <c r="F47" i="31"/>
  <c r="E47" i="31"/>
  <c r="B47" i="31"/>
  <c r="A47" i="31"/>
  <c r="K46" i="31"/>
  <c r="J46" i="31"/>
  <c r="I46" i="31"/>
  <c r="F46" i="31"/>
  <c r="E46" i="31"/>
  <c r="B46" i="31"/>
  <c r="A46" i="31"/>
  <c r="M44" i="31"/>
  <c r="K44" i="31"/>
  <c r="J44" i="31"/>
  <c r="I44" i="31"/>
  <c r="F44" i="31"/>
  <c r="E44" i="31"/>
  <c r="B44" i="31"/>
  <c r="A44" i="31"/>
  <c r="AA43" i="31"/>
  <c r="M43" i="31"/>
  <c r="K43" i="31"/>
  <c r="J43" i="31"/>
  <c r="I43" i="31"/>
  <c r="F43" i="31"/>
  <c r="E43" i="31"/>
  <c r="B43" i="31"/>
  <c r="A43" i="31"/>
  <c r="AA42" i="31"/>
  <c r="M42" i="31"/>
  <c r="K42" i="31"/>
  <c r="J42" i="31"/>
  <c r="I42" i="31"/>
  <c r="F42" i="31"/>
  <c r="E42" i="31"/>
  <c r="B42" i="31"/>
  <c r="A42" i="31"/>
  <c r="AA41" i="31"/>
  <c r="M41" i="31"/>
  <c r="K41" i="31"/>
  <c r="J41" i="31"/>
  <c r="I41" i="31"/>
  <c r="F41" i="31"/>
  <c r="E41" i="31"/>
  <c r="B41" i="31"/>
  <c r="A41" i="31"/>
  <c r="AA40" i="31"/>
  <c r="M40" i="31"/>
  <c r="K40" i="31"/>
  <c r="J40" i="31"/>
  <c r="I40" i="31"/>
  <c r="F40" i="31"/>
  <c r="E40" i="31"/>
  <c r="B40" i="31"/>
  <c r="A40" i="31"/>
  <c r="K39" i="31"/>
  <c r="J39" i="31"/>
  <c r="I39" i="31"/>
  <c r="F39" i="31"/>
  <c r="E39" i="31"/>
  <c r="B39" i="31"/>
  <c r="A39" i="31"/>
  <c r="M37" i="31"/>
  <c r="K37" i="31"/>
  <c r="J37" i="31"/>
  <c r="I37" i="31"/>
  <c r="F37" i="31"/>
  <c r="E37" i="31"/>
  <c r="B37" i="31"/>
  <c r="A37" i="31"/>
  <c r="AA36" i="31"/>
  <c r="M36" i="31"/>
  <c r="K36" i="31"/>
  <c r="J36" i="31"/>
  <c r="I36" i="31"/>
  <c r="F36" i="31"/>
  <c r="E36" i="31"/>
  <c r="B36" i="31"/>
  <c r="A36" i="31"/>
  <c r="AA35" i="31"/>
  <c r="M35" i="31"/>
  <c r="K35" i="31"/>
  <c r="J35" i="31"/>
  <c r="I35" i="31"/>
  <c r="F35" i="31"/>
  <c r="E35" i="31"/>
  <c r="B35" i="31"/>
  <c r="A35" i="31"/>
  <c r="AA34" i="31"/>
  <c r="M34" i="31"/>
  <c r="K34" i="31"/>
  <c r="J34" i="31"/>
  <c r="I34" i="31"/>
  <c r="F34" i="31"/>
  <c r="E34" i="31"/>
  <c r="B34" i="31"/>
  <c r="A34" i="31"/>
  <c r="AA33" i="31"/>
  <c r="M33" i="31"/>
  <c r="K33" i="31"/>
  <c r="J33" i="31"/>
  <c r="I33" i="31"/>
  <c r="F33" i="31"/>
  <c r="E33" i="31"/>
  <c r="B33" i="31"/>
  <c r="A33" i="31"/>
  <c r="K32" i="31"/>
  <c r="J32" i="31"/>
  <c r="I32" i="31"/>
  <c r="F32" i="31"/>
  <c r="E32" i="31"/>
  <c r="B32" i="31"/>
  <c r="A32" i="31"/>
  <c r="M30" i="31"/>
  <c r="K30" i="31"/>
  <c r="J30" i="31"/>
  <c r="I30" i="31"/>
  <c r="F30" i="31"/>
  <c r="E30" i="31"/>
  <c r="B30" i="31"/>
  <c r="A30" i="31"/>
  <c r="AA29" i="31"/>
  <c r="M29" i="31"/>
  <c r="K29" i="31"/>
  <c r="J29" i="31"/>
  <c r="I29" i="31"/>
  <c r="F29" i="31"/>
  <c r="E29" i="31"/>
  <c r="B29" i="31"/>
  <c r="A29" i="31"/>
  <c r="AA28" i="31"/>
  <c r="M28" i="31"/>
  <c r="K28" i="31"/>
  <c r="J28" i="31"/>
  <c r="I28" i="31"/>
  <c r="F28" i="31"/>
  <c r="E28" i="31"/>
  <c r="B28" i="31"/>
  <c r="A28" i="31"/>
  <c r="AA27" i="31"/>
  <c r="M27" i="31"/>
  <c r="K27" i="31"/>
  <c r="J27" i="31"/>
  <c r="I27" i="31"/>
  <c r="F27" i="31"/>
  <c r="E27" i="31"/>
  <c r="B27" i="31"/>
  <c r="A27" i="31"/>
  <c r="AA26" i="31"/>
  <c r="M26" i="31"/>
  <c r="K26" i="31"/>
  <c r="J26" i="31"/>
  <c r="I26" i="31"/>
  <c r="F26" i="31"/>
  <c r="E26" i="31"/>
  <c r="B26" i="31"/>
  <c r="A26" i="31"/>
  <c r="K25" i="31"/>
  <c r="J25" i="31"/>
  <c r="I25" i="31"/>
  <c r="F25" i="31"/>
  <c r="E25" i="31"/>
  <c r="B25" i="31"/>
  <c r="A25" i="31"/>
  <c r="M24" i="31"/>
  <c r="M23" i="31"/>
  <c r="K23" i="31"/>
  <c r="J23" i="31"/>
  <c r="I23" i="31"/>
  <c r="F23" i="31"/>
  <c r="E23" i="31"/>
  <c r="B23" i="31"/>
  <c r="A23" i="31"/>
  <c r="AA22" i="31"/>
  <c r="M22" i="31"/>
  <c r="K22" i="31"/>
  <c r="J22" i="31"/>
  <c r="I22" i="31"/>
  <c r="F22" i="31"/>
  <c r="E22" i="31"/>
  <c r="B22" i="31"/>
  <c r="A22" i="31"/>
  <c r="AA21" i="31"/>
  <c r="M21" i="31"/>
  <c r="K21" i="31"/>
  <c r="J21" i="31"/>
  <c r="I21" i="31"/>
  <c r="F21" i="31"/>
  <c r="E21" i="31"/>
  <c r="B21" i="31"/>
  <c r="A21" i="31"/>
  <c r="AA20" i="31"/>
  <c r="M20" i="31"/>
  <c r="K20" i="31"/>
  <c r="J20" i="31"/>
  <c r="I20" i="31"/>
  <c r="F20" i="31"/>
  <c r="E20" i="31"/>
  <c r="B20" i="31"/>
  <c r="A20" i="31"/>
  <c r="AA19" i="31"/>
  <c r="M19" i="31"/>
  <c r="K19" i="31"/>
  <c r="J19" i="31"/>
  <c r="I19" i="31"/>
  <c r="F19" i="31"/>
  <c r="E19" i="31"/>
  <c r="B19" i="31"/>
  <c r="A19" i="31"/>
  <c r="K18" i="31"/>
  <c r="J18" i="31"/>
  <c r="I18" i="31"/>
  <c r="F18" i="31"/>
  <c r="E18" i="31"/>
  <c r="B18" i="31"/>
  <c r="A18" i="31"/>
  <c r="M16" i="31"/>
  <c r="K16" i="31"/>
  <c r="J16" i="31"/>
  <c r="I16" i="31"/>
  <c r="F16" i="31"/>
  <c r="E16" i="31"/>
  <c r="B16" i="31"/>
  <c r="A16" i="31"/>
  <c r="AA15" i="31"/>
  <c r="M15" i="31"/>
  <c r="K15" i="31"/>
  <c r="J15" i="31"/>
  <c r="I15" i="31"/>
  <c r="F15" i="31"/>
  <c r="E15" i="31"/>
  <c r="B15" i="31"/>
  <c r="A15" i="31"/>
  <c r="AA14" i="31"/>
  <c r="M14" i="31"/>
  <c r="K14" i="31"/>
  <c r="J14" i="31"/>
  <c r="I14" i="31"/>
  <c r="F14" i="31"/>
  <c r="E14" i="31"/>
  <c r="B14" i="31"/>
  <c r="A14" i="31"/>
  <c r="AA13" i="31"/>
  <c r="M13" i="31"/>
  <c r="K13" i="31"/>
  <c r="J13" i="31"/>
  <c r="I13" i="31"/>
  <c r="F13" i="31"/>
  <c r="E13" i="31"/>
  <c r="B13" i="31"/>
  <c r="A13" i="31"/>
  <c r="AA12" i="31"/>
  <c r="M12" i="31"/>
  <c r="K12" i="31"/>
  <c r="J12" i="31"/>
  <c r="I12" i="31"/>
  <c r="F12" i="31"/>
  <c r="E12" i="31"/>
  <c r="B12" i="31"/>
  <c r="A12" i="31"/>
  <c r="K11" i="31"/>
  <c r="J11" i="31"/>
  <c r="I11" i="31"/>
  <c r="F11" i="31"/>
  <c r="E11" i="31"/>
  <c r="B11" i="31"/>
  <c r="A11" i="31"/>
  <c r="AA10" i="31"/>
  <c r="AA9" i="31"/>
  <c r="P7" i="31"/>
  <c r="J7" i="31"/>
  <c r="P6" i="31"/>
  <c r="J6" i="31"/>
  <c r="C6" i="31"/>
  <c r="P5" i="31"/>
  <c r="J5" i="31"/>
  <c r="P4" i="31"/>
  <c r="I92" i="37"/>
  <c r="H92" i="37"/>
  <c r="G92" i="37"/>
  <c r="F92" i="37"/>
  <c r="E92" i="37"/>
  <c r="D92" i="37"/>
  <c r="C92" i="37"/>
  <c r="B92" i="37"/>
  <c r="A92" i="37"/>
  <c r="I91" i="37"/>
  <c r="H91" i="37"/>
  <c r="G91" i="37"/>
  <c r="F91" i="37"/>
  <c r="E91" i="37"/>
  <c r="D91" i="37"/>
  <c r="C91" i="37"/>
  <c r="B91" i="37"/>
  <c r="A91" i="37"/>
  <c r="I90" i="37"/>
  <c r="H90" i="37"/>
  <c r="G90" i="37"/>
  <c r="F90" i="37"/>
  <c r="E90" i="37"/>
  <c r="D90" i="37"/>
  <c r="C90" i="37"/>
  <c r="B90" i="37"/>
  <c r="A90" i="37"/>
  <c r="I89" i="37"/>
  <c r="H89" i="37"/>
  <c r="G89" i="37"/>
  <c r="F89" i="37"/>
  <c r="E89" i="37"/>
  <c r="D89" i="37"/>
  <c r="C89" i="37"/>
  <c r="B89" i="37"/>
  <c r="A89" i="37"/>
  <c r="I88" i="37"/>
  <c r="H88" i="37"/>
  <c r="G88" i="37"/>
  <c r="F88" i="37"/>
  <c r="E88" i="37"/>
  <c r="D88" i="37"/>
  <c r="C88" i="37"/>
  <c r="B88" i="37"/>
  <c r="A88" i="37"/>
  <c r="I87" i="37"/>
  <c r="H87" i="37"/>
  <c r="G87" i="37"/>
  <c r="F87" i="37"/>
  <c r="E87" i="37"/>
  <c r="D87" i="37"/>
  <c r="C87" i="37"/>
  <c r="B87" i="37"/>
  <c r="A87" i="37"/>
  <c r="I86" i="37"/>
  <c r="H86" i="37"/>
  <c r="G86" i="37"/>
  <c r="F86" i="37"/>
  <c r="E86" i="37"/>
  <c r="D86" i="37"/>
  <c r="C86" i="37"/>
  <c r="Q70" i="37"/>
  <c r="P70" i="37"/>
  <c r="O70" i="37"/>
  <c r="N70" i="37"/>
  <c r="M70" i="37"/>
  <c r="L70" i="37"/>
  <c r="K70" i="37"/>
  <c r="Q69" i="37"/>
  <c r="P69" i="37"/>
  <c r="O69" i="37"/>
  <c r="N69" i="37"/>
  <c r="M69" i="37"/>
  <c r="L69" i="37"/>
  <c r="K69" i="37"/>
  <c r="Q68" i="37"/>
  <c r="P68" i="37"/>
  <c r="O68" i="37"/>
  <c r="N68" i="37"/>
  <c r="M68" i="37"/>
  <c r="L68" i="37"/>
  <c r="K68" i="37"/>
  <c r="Q67" i="37"/>
  <c r="P67" i="37"/>
  <c r="O67" i="37"/>
  <c r="N67" i="37"/>
  <c r="M67" i="37"/>
  <c r="L67" i="37"/>
  <c r="K67" i="37"/>
  <c r="Q66" i="37"/>
  <c r="P66" i="37"/>
  <c r="O66" i="37"/>
  <c r="N66" i="37"/>
  <c r="M66" i="37"/>
  <c r="L66" i="37"/>
  <c r="K66" i="37"/>
  <c r="Q65" i="37"/>
  <c r="P65" i="37"/>
  <c r="O65" i="37"/>
  <c r="N65" i="37"/>
  <c r="M65" i="37"/>
  <c r="L65" i="37"/>
  <c r="K65" i="37"/>
  <c r="Q64" i="37"/>
  <c r="P64" i="37"/>
  <c r="O64" i="37"/>
  <c r="N64" i="37"/>
  <c r="M64" i="37"/>
  <c r="L64" i="37"/>
  <c r="M51" i="37"/>
  <c r="K51" i="37"/>
  <c r="J51" i="37"/>
  <c r="I51" i="37"/>
  <c r="F51" i="37"/>
  <c r="E51" i="37"/>
  <c r="B51" i="37"/>
  <c r="A51" i="37"/>
  <c r="AA50" i="37"/>
  <c r="M50" i="37"/>
  <c r="K50" i="37"/>
  <c r="J50" i="37"/>
  <c r="I50" i="37"/>
  <c r="F50" i="37"/>
  <c r="E50" i="37"/>
  <c r="B50" i="37"/>
  <c r="A50" i="37"/>
  <c r="AA49" i="37"/>
  <c r="M49" i="37"/>
  <c r="K49" i="37"/>
  <c r="J49" i="37"/>
  <c r="I49" i="37"/>
  <c r="F49" i="37"/>
  <c r="E49" i="37"/>
  <c r="B49" i="37"/>
  <c r="A49" i="37"/>
  <c r="AA48" i="37"/>
  <c r="M48" i="37"/>
  <c r="K48" i="37"/>
  <c r="J48" i="37"/>
  <c r="I48" i="37"/>
  <c r="F48" i="37"/>
  <c r="E48" i="37"/>
  <c r="B48" i="37"/>
  <c r="A48" i="37"/>
  <c r="AA47" i="37"/>
  <c r="M47" i="37"/>
  <c r="K47" i="37"/>
  <c r="J47" i="37"/>
  <c r="I47" i="37"/>
  <c r="F47" i="37"/>
  <c r="E47" i="37"/>
  <c r="B47" i="37"/>
  <c r="A47" i="37"/>
  <c r="K46" i="37"/>
  <c r="J46" i="37"/>
  <c r="I46" i="37"/>
  <c r="F46" i="37"/>
  <c r="E46" i="37"/>
  <c r="B46" i="37"/>
  <c r="A46" i="37"/>
  <c r="M44" i="37"/>
  <c r="K44" i="37"/>
  <c r="J44" i="37"/>
  <c r="I44" i="37"/>
  <c r="F44" i="37"/>
  <c r="E44" i="37"/>
  <c r="B44" i="37"/>
  <c r="A44" i="37"/>
  <c r="AA43" i="37"/>
  <c r="M43" i="37"/>
  <c r="K43" i="37"/>
  <c r="J43" i="37"/>
  <c r="I43" i="37"/>
  <c r="F43" i="37"/>
  <c r="E43" i="37"/>
  <c r="B43" i="37"/>
  <c r="A43" i="37"/>
  <c r="AA42" i="37"/>
  <c r="M42" i="37"/>
  <c r="K42" i="37"/>
  <c r="J42" i="37"/>
  <c r="I42" i="37"/>
  <c r="F42" i="37"/>
  <c r="E42" i="37"/>
  <c r="B42" i="37"/>
  <c r="A42" i="37"/>
  <c r="AA41" i="37"/>
  <c r="M41" i="37"/>
  <c r="K41" i="37"/>
  <c r="J41" i="37"/>
  <c r="I41" i="37"/>
  <c r="F41" i="37"/>
  <c r="E41" i="37"/>
  <c r="B41" i="37"/>
  <c r="A41" i="37"/>
  <c r="AA40" i="37"/>
  <c r="M40" i="37"/>
  <c r="K40" i="37"/>
  <c r="J40" i="37"/>
  <c r="I40" i="37"/>
  <c r="F40" i="37"/>
  <c r="E40" i="37"/>
  <c r="B40" i="37"/>
  <c r="A40" i="37"/>
  <c r="K39" i="37"/>
  <c r="J39" i="37"/>
  <c r="I39" i="37"/>
  <c r="F39" i="37"/>
  <c r="E39" i="37"/>
  <c r="B39" i="37"/>
  <c r="A39" i="37"/>
  <c r="M37" i="37"/>
  <c r="K37" i="37"/>
  <c r="J37" i="37"/>
  <c r="I37" i="37"/>
  <c r="F37" i="37"/>
  <c r="E37" i="37"/>
  <c r="B37" i="37"/>
  <c r="A37" i="37"/>
  <c r="AA36" i="37"/>
  <c r="M36" i="37"/>
  <c r="K36" i="37"/>
  <c r="J36" i="37"/>
  <c r="I36" i="37"/>
  <c r="F36" i="37"/>
  <c r="E36" i="37"/>
  <c r="B36" i="37"/>
  <c r="A36" i="37"/>
  <c r="AA35" i="37"/>
  <c r="M35" i="37"/>
  <c r="K35" i="37"/>
  <c r="J35" i="37"/>
  <c r="I35" i="37"/>
  <c r="F35" i="37"/>
  <c r="E35" i="37"/>
  <c r="B35" i="37"/>
  <c r="A35" i="37"/>
  <c r="AA34" i="37"/>
  <c r="M34" i="37"/>
  <c r="K34" i="37"/>
  <c r="J34" i="37"/>
  <c r="I34" i="37"/>
  <c r="F34" i="37"/>
  <c r="E34" i="37"/>
  <c r="B34" i="37"/>
  <c r="A34" i="37"/>
  <c r="AA33" i="37"/>
  <c r="M33" i="37"/>
  <c r="K33" i="37"/>
  <c r="J33" i="37"/>
  <c r="I33" i="37"/>
  <c r="F33" i="37"/>
  <c r="E33" i="37"/>
  <c r="B33" i="37"/>
  <c r="A33" i="37"/>
  <c r="K32" i="37"/>
  <c r="J32" i="37"/>
  <c r="I32" i="37"/>
  <c r="F32" i="37"/>
  <c r="E32" i="37"/>
  <c r="B32" i="37"/>
  <c r="A32" i="37"/>
  <c r="M30" i="37"/>
  <c r="K30" i="37"/>
  <c r="J30" i="37"/>
  <c r="I30" i="37"/>
  <c r="F30" i="37"/>
  <c r="E30" i="37"/>
  <c r="B30" i="37"/>
  <c r="A30" i="37"/>
  <c r="AA29" i="37"/>
  <c r="M29" i="37"/>
  <c r="K29" i="37"/>
  <c r="J29" i="37"/>
  <c r="I29" i="37"/>
  <c r="F29" i="37"/>
  <c r="E29" i="37"/>
  <c r="B29" i="37"/>
  <c r="A29" i="37"/>
  <c r="AA28" i="37"/>
  <c r="M28" i="37"/>
  <c r="K28" i="37"/>
  <c r="J28" i="37"/>
  <c r="I28" i="37"/>
  <c r="F28" i="37"/>
  <c r="E28" i="37"/>
  <c r="B28" i="37"/>
  <c r="A28" i="37"/>
  <c r="AA27" i="37"/>
  <c r="M27" i="37"/>
  <c r="K27" i="37"/>
  <c r="J27" i="37"/>
  <c r="I27" i="37"/>
  <c r="F27" i="37"/>
  <c r="E27" i="37"/>
  <c r="B27" i="37"/>
  <c r="A27" i="37"/>
  <c r="AA26" i="37"/>
  <c r="M26" i="37"/>
  <c r="K26" i="37"/>
  <c r="J26" i="37"/>
  <c r="I26" i="37"/>
  <c r="F26" i="37"/>
  <c r="E26" i="37"/>
  <c r="B26" i="37"/>
  <c r="A26" i="37"/>
  <c r="K25" i="37"/>
  <c r="J25" i="37"/>
  <c r="I25" i="37"/>
  <c r="F25" i="37"/>
  <c r="E25" i="37"/>
  <c r="B25" i="37"/>
  <c r="A25" i="37"/>
  <c r="M23" i="37"/>
  <c r="K23" i="37"/>
  <c r="J23" i="37"/>
  <c r="I23" i="37"/>
  <c r="F23" i="37"/>
  <c r="E23" i="37"/>
  <c r="B23" i="37"/>
  <c r="A23" i="37"/>
  <c r="AA22" i="37"/>
  <c r="M22" i="37"/>
  <c r="K22" i="37"/>
  <c r="J22" i="37"/>
  <c r="I22" i="37"/>
  <c r="F22" i="37"/>
  <c r="E22" i="37"/>
  <c r="B22" i="37"/>
  <c r="A22" i="37"/>
  <c r="AA21" i="37"/>
  <c r="M21" i="37"/>
  <c r="K21" i="37"/>
  <c r="J21" i="37"/>
  <c r="I21" i="37"/>
  <c r="F21" i="37"/>
  <c r="E21" i="37"/>
  <c r="B21" i="37"/>
  <c r="A21" i="37"/>
  <c r="AA20" i="37"/>
  <c r="M20" i="37"/>
  <c r="K20" i="37"/>
  <c r="J20" i="37"/>
  <c r="I20" i="37"/>
  <c r="F20" i="37"/>
  <c r="E20" i="37"/>
  <c r="B20" i="37"/>
  <c r="A20" i="37"/>
  <c r="AA19" i="37"/>
  <c r="M19" i="37"/>
  <c r="K19" i="37"/>
  <c r="J19" i="37"/>
  <c r="I19" i="37"/>
  <c r="F19" i="37"/>
  <c r="E19" i="37"/>
  <c r="B19" i="37"/>
  <c r="A19" i="37"/>
  <c r="K18" i="37"/>
  <c r="J18" i="37"/>
  <c r="I18" i="37"/>
  <c r="F18" i="37"/>
  <c r="E18" i="37"/>
  <c r="B18" i="37"/>
  <c r="A18" i="37"/>
  <c r="M16" i="37"/>
  <c r="K16" i="37"/>
  <c r="J16" i="37"/>
  <c r="I16" i="37"/>
  <c r="F16" i="37"/>
  <c r="E16" i="37"/>
  <c r="B16" i="37"/>
  <c r="A16" i="37"/>
  <c r="AA15" i="37"/>
  <c r="M15" i="37"/>
  <c r="K15" i="37"/>
  <c r="J15" i="37"/>
  <c r="I15" i="37"/>
  <c r="F15" i="37"/>
  <c r="E15" i="37"/>
  <c r="B15" i="37"/>
  <c r="A15" i="37"/>
  <c r="AA14" i="37"/>
  <c r="M14" i="37"/>
  <c r="K14" i="37"/>
  <c r="J14" i="37"/>
  <c r="I14" i="37"/>
  <c r="F14" i="37"/>
  <c r="E14" i="37"/>
  <c r="B14" i="37"/>
  <c r="A14" i="37"/>
  <c r="AA13" i="37"/>
  <c r="M13" i="37"/>
  <c r="K13" i="37"/>
  <c r="J13" i="37"/>
  <c r="I13" i="37"/>
  <c r="F13" i="37"/>
  <c r="E13" i="37"/>
  <c r="B13" i="37"/>
  <c r="A13" i="37"/>
  <c r="AA12" i="37"/>
  <c r="M12" i="37"/>
  <c r="K12" i="37"/>
  <c r="J12" i="37"/>
  <c r="I12" i="37"/>
  <c r="F12" i="37"/>
  <c r="E12" i="37"/>
  <c r="B12" i="37"/>
  <c r="A12" i="37"/>
  <c r="K11" i="37"/>
  <c r="J11" i="37"/>
  <c r="I11" i="37"/>
  <c r="F11" i="37"/>
  <c r="E11" i="37"/>
  <c r="B11" i="37"/>
  <c r="A11" i="37"/>
  <c r="AA10" i="37"/>
  <c r="AA9" i="37"/>
  <c r="P7" i="37"/>
  <c r="J7" i="37"/>
  <c r="P6" i="37"/>
  <c r="J6" i="37"/>
  <c r="C6" i="37"/>
  <c r="P5" i="37"/>
  <c r="J5" i="37"/>
  <c r="P4" i="37"/>
  <c r="P3" i="37"/>
  <c r="I92" i="36"/>
  <c r="H92" i="36"/>
  <c r="G92" i="36"/>
  <c r="F92" i="36"/>
  <c r="E92" i="36"/>
  <c r="D92" i="36"/>
  <c r="C92" i="36"/>
  <c r="B92" i="36"/>
  <c r="A92" i="36"/>
  <c r="I91" i="36"/>
  <c r="H91" i="36"/>
  <c r="G91" i="36"/>
  <c r="F91" i="36"/>
  <c r="E91" i="36"/>
  <c r="D91" i="36"/>
  <c r="C91" i="36"/>
  <c r="B91" i="36"/>
  <c r="A91" i="36"/>
  <c r="I90" i="36"/>
  <c r="H90" i="36"/>
  <c r="G90" i="36"/>
  <c r="F90" i="36"/>
  <c r="E90" i="36"/>
  <c r="D90" i="36"/>
  <c r="C90" i="36"/>
  <c r="B90" i="36"/>
  <c r="A90" i="36"/>
  <c r="P89" i="36"/>
  <c r="O89" i="36"/>
  <c r="N89" i="36"/>
  <c r="M89" i="36"/>
  <c r="I89" i="36"/>
  <c r="H89" i="36"/>
  <c r="G89" i="36"/>
  <c r="F89" i="36"/>
  <c r="E89" i="36"/>
  <c r="D89" i="36"/>
  <c r="C89" i="36"/>
  <c r="B89" i="36"/>
  <c r="A89" i="36"/>
  <c r="P88" i="36"/>
  <c r="O88" i="36"/>
  <c r="N88" i="36"/>
  <c r="M88" i="36"/>
  <c r="I88" i="36"/>
  <c r="H88" i="36"/>
  <c r="G88" i="36"/>
  <c r="F88" i="36"/>
  <c r="E88" i="36"/>
  <c r="D88" i="36"/>
  <c r="C88" i="36"/>
  <c r="B88" i="36"/>
  <c r="A88" i="36"/>
  <c r="P87" i="36"/>
  <c r="O87" i="36"/>
  <c r="N87" i="36"/>
  <c r="M87" i="36"/>
  <c r="I87" i="36"/>
  <c r="H87" i="36"/>
  <c r="G87" i="36"/>
  <c r="F87" i="36"/>
  <c r="E87" i="36"/>
  <c r="D87" i="36"/>
  <c r="C87" i="36"/>
  <c r="B87" i="36"/>
  <c r="A87" i="36"/>
  <c r="P86" i="36"/>
  <c r="O86" i="36"/>
  <c r="N86" i="36"/>
  <c r="M86" i="36"/>
  <c r="I86" i="36"/>
  <c r="H86" i="36"/>
  <c r="G86" i="36"/>
  <c r="F86" i="36"/>
  <c r="E86" i="36"/>
  <c r="D86" i="36"/>
  <c r="C86" i="36"/>
  <c r="P85" i="36"/>
  <c r="O85" i="36"/>
  <c r="N85" i="36"/>
  <c r="M85" i="36"/>
  <c r="P84" i="36"/>
  <c r="O84" i="36"/>
  <c r="N84" i="36"/>
  <c r="M84" i="36"/>
  <c r="Q70" i="36"/>
  <c r="P70" i="36"/>
  <c r="O70" i="36"/>
  <c r="N70" i="36"/>
  <c r="M70" i="36"/>
  <c r="L70" i="36"/>
  <c r="K70" i="36"/>
  <c r="Q69" i="36"/>
  <c r="P69" i="36"/>
  <c r="O69" i="36"/>
  <c r="N69" i="36"/>
  <c r="M69" i="36"/>
  <c r="L69" i="36"/>
  <c r="K69" i="36"/>
  <c r="Q68" i="36"/>
  <c r="P68" i="36"/>
  <c r="O68" i="36"/>
  <c r="N68" i="36"/>
  <c r="M68" i="36"/>
  <c r="L68" i="36"/>
  <c r="K68" i="36"/>
  <c r="Q67" i="36"/>
  <c r="P67" i="36"/>
  <c r="O67" i="36"/>
  <c r="N67" i="36"/>
  <c r="M67" i="36"/>
  <c r="L67" i="36"/>
  <c r="K67" i="36"/>
  <c r="Q66" i="36"/>
  <c r="P66" i="36"/>
  <c r="O66" i="36"/>
  <c r="N66" i="36"/>
  <c r="M66" i="36"/>
  <c r="L66" i="36"/>
  <c r="K66" i="36"/>
  <c r="Q65" i="36"/>
  <c r="P65" i="36"/>
  <c r="O65" i="36"/>
  <c r="N65" i="36"/>
  <c r="M65" i="36"/>
  <c r="L65" i="36"/>
  <c r="K65" i="36"/>
  <c r="Q64" i="36"/>
  <c r="P64" i="36"/>
  <c r="O64" i="36"/>
  <c r="N64" i="36"/>
  <c r="M64" i="36"/>
  <c r="L64" i="36"/>
  <c r="M51" i="36"/>
  <c r="K51" i="36"/>
  <c r="J51" i="36"/>
  <c r="I51" i="36"/>
  <c r="F51" i="36"/>
  <c r="E51" i="36"/>
  <c r="B51" i="36"/>
  <c r="A51" i="36"/>
  <c r="AA50" i="36"/>
  <c r="M50" i="36"/>
  <c r="K50" i="36"/>
  <c r="J50" i="36"/>
  <c r="I50" i="36"/>
  <c r="F50" i="36"/>
  <c r="E50" i="36"/>
  <c r="B50" i="36"/>
  <c r="A50" i="36"/>
  <c r="AA49" i="36"/>
  <c r="M49" i="36"/>
  <c r="K49" i="36"/>
  <c r="J49" i="36"/>
  <c r="I49" i="36"/>
  <c r="F49" i="36"/>
  <c r="E49" i="36"/>
  <c r="B49" i="36"/>
  <c r="A49" i="36"/>
  <c r="AA48" i="36"/>
  <c r="M48" i="36"/>
  <c r="K48" i="36"/>
  <c r="J48" i="36"/>
  <c r="I48" i="36"/>
  <c r="F48" i="36"/>
  <c r="E48" i="36"/>
  <c r="B48" i="36"/>
  <c r="A48" i="36"/>
  <c r="AA47" i="36"/>
  <c r="M47" i="36"/>
  <c r="K47" i="36"/>
  <c r="J47" i="36"/>
  <c r="I47" i="36"/>
  <c r="F47" i="36"/>
  <c r="E47" i="36"/>
  <c r="B47" i="36"/>
  <c r="A47" i="36"/>
  <c r="K46" i="36"/>
  <c r="J46" i="36"/>
  <c r="I46" i="36"/>
  <c r="F46" i="36"/>
  <c r="E46" i="36"/>
  <c r="B46" i="36"/>
  <c r="A46" i="36"/>
  <c r="M44" i="36"/>
  <c r="K44" i="36"/>
  <c r="J44" i="36"/>
  <c r="I44" i="36"/>
  <c r="F44" i="36"/>
  <c r="E44" i="36"/>
  <c r="B44" i="36"/>
  <c r="A44" i="36"/>
  <c r="AA43" i="36"/>
  <c r="M43" i="36"/>
  <c r="K43" i="36"/>
  <c r="J43" i="36"/>
  <c r="I43" i="36"/>
  <c r="F43" i="36"/>
  <c r="E43" i="36"/>
  <c r="B43" i="36"/>
  <c r="A43" i="36"/>
  <c r="AA42" i="36"/>
  <c r="M42" i="36"/>
  <c r="K42" i="36"/>
  <c r="J42" i="36"/>
  <c r="I42" i="36"/>
  <c r="F42" i="36"/>
  <c r="E42" i="36"/>
  <c r="B42" i="36"/>
  <c r="A42" i="36"/>
  <c r="AA41" i="36"/>
  <c r="M41" i="36"/>
  <c r="K41" i="36"/>
  <c r="J41" i="36"/>
  <c r="I41" i="36"/>
  <c r="F41" i="36"/>
  <c r="E41" i="36"/>
  <c r="B41" i="36"/>
  <c r="A41" i="36"/>
  <c r="AA40" i="36"/>
  <c r="M40" i="36"/>
  <c r="K40" i="36"/>
  <c r="J40" i="36"/>
  <c r="I40" i="36"/>
  <c r="F40" i="36"/>
  <c r="E40" i="36"/>
  <c r="B40" i="36"/>
  <c r="A40" i="36"/>
  <c r="K39" i="36"/>
  <c r="J39" i="36"/>
  <c r="I39" i="36"/>
  <c r="F39" i="36"/>
  <c r="E39" i="36"/>
  <c r="B39" i="36"/>
  <c r="A39" i="36"/>
  <c r="M37" i="36"/>
  <c r="K37" i="36"/>
  <c r="J37" i="36"/>
  <c r="I37" i="36"/>
  <c r="F37" i="36"/>
  <c r="E37" i="36"/>
  <c r="B37" i="36"/>
  <c r="A37" i="36"/>
  <c r="AA36" i="36"/>
  <c r="M36" i="36"/>
  <c r="K36" i="36"/>
  <c r="J36" i="36"/>
  <c r="I36" i="36"/>
  <c r="F36" i="36"/>
  <c r="E36" i="36"/>
  <c r="B36" i="36"/>
  <c r="A36" i="36"/>
  <c r="AA35" i="36"/>
  <c r="M35" i="36"/>
  <c r="K35" i="36"/>
  <c r="J35" i="36"/>
  <c r="I35" i="36"/>
  <c r="F35" i="36"/>
  <c r="E35" i="36"/>
  <c r="B35" i="36"/>
  <c r="A35" i="36"/>
  <c r="AA34" i="36"/>
  <c r="M34" i="36"/>
  <c r="K34" i="36"/>
  <c r="J34" i="36"/>
  <c r="I34" i="36"/>
  <c r="F34" i="36"/>
  <c r="E34" i="36"/>
  <c r="B34" i="36"/>
  <c r="A34" i="36"/>
  <c r="AA33" i="36"/>
  <c r="M33" i="36"/>
  <c r="K33" i="36"/>
  <c r="J33" i="36"/>
  <c r="I33" i="36"/>
  <c r="F33" i="36"/>
  <c r="E33" i="36"/>
  <c r="B33" i="36"/>
  <c r="A33" i="36"/>
  <c r="K32" i="36"/>
  <c r="J32" i="36"/>
  <c r="I32" i="36"/>
  <c r="F32" i="36"/>
  <c r="E32" i="36"/>
  <c r="B32" i="36"/>
  <c r="A32" i="36"/>
  <c r="M30" i="36"/>
  <c r="K30" i="36"/>
  <c r="J30" i="36"/>
  <c r="I30" i="36"/>
  <c r="F30" i="36"/>
  <c r="E30" i="36"/>
  <c r="B30" i="36"/>
  <c r="A30" i="36"/>
  <c r="AA29" i="36"/>
  <c r="M29" i="36"/>
  <c r="K29" i="36"/>
  <c r="J29" i="36"/>
  <c r="I29" i="36"/>
  <c r="F29" i="36"/>
  <c r="E29" i="36"/>
  <c r="B29" i="36"/>
  <c r="A29" i="36"/>
  <c r="AA28" i="36"/>
  <c r="M28" i="36"/>
  <c r="K28" i="36"/>
  <c r="J28" i="36"/>
  <c r="I28" i="36"/>
  <c r="F28" i="36"/>
  <c r="E28" i="36"/>
  <c r="B28" i="36"/>
  <c r="A28" i="36"/>
  <c r="AA27" i="36"/>
  <c r="M27" i="36"/>
  <c r="K27" i="36"/>
  <c r="J27" i="36"/>
  <c r="I27" i="36"/>
  <c r="F27" i="36"/>
  <c r="E27" i="36"/>
  <c r="B27" i="36"/>
  <c r="A27" i="36"/>
  <c r="AA26" i="36"/>
  <c r="M26" i="36"/>
  <c r="K26" i="36"/>
  <c r="J26" i="36"/>
  <c r="I26" i="36"/>
  <c r="F26" i="36"/>
  <c r="E26" i="36"/>
  <c r="B26" i="36"/>
  <c r="A26" i="36"/>
  <c r="K25" i="36"/>
  <c r="J25" i="36"/>
  <c r="I25" i="36"/>
  <c r="F25" i="36"/>
  <c r="E25" i="36"/>
  <c r="B25" i="36"/>
  <c r="A25" i="36"/>
  <c r="P23" i="36"/>
  <c r="O23" i="36"/>
  <c r="M23" i="36"/>
  <c r="K23" i="36"/>
  <c r="J23" i="36"/>
  <c r="I23" i="36"/>
  <c r="F23" i="36"/>
  <c r="E23" i="36"/>
  <c r="A23" i="36"/>
  <c r="AA22" i="36"/>
  <c r="P22" i="36"/>
  <c r="O22" i="36"/>
  <c r="M22" i="36"/>
  <c r="K22" i="36"/>
  <c r="J22" i="36"/>
  <c r="I22" i="36"/>
  <c r="F22" i="36"/>
  <c r="E22" i="36"/>
  <c r="A22" i="36"/>
  <c r="AA21" i="36"/>
  <c r="P21" i="36"/>
  <c r="O21" i="36"/>
  <c r="M21" i="36"/>
  <c r="K21" i="36"/>
  <c r="J21" i="36"/>
  <c r="I21" i="36"/>
  <c r="F21" i="36"/>
  <c r="E21" i="36"/>
  <c r="A21" i="36"/>
  <c r="AA20" i="36"/>
  <c r="P20" i="36"/>
  <c r="O20" i="36"/>
  <c r="M20" i="36"/>
  <c r="K20" i="36"/>
  <c r="J20" i="36"/>
  <c r="I20" i="36"/>
  <c r="F20" i="36"/>
  <c r="E20" i="36"/>
  <c r="A20" i="36"/>
  <c r="AA19" i="36"/>
  <c r="P19" i="36"/>
  <c r="O19" i="36"/>
  <c r="M19" i="36"/>
  <c r="K19" i="36"/>
  <c r="J19" i="36"/>
  <c r="I19" i="36"/>
  <c r="F19" i="36"/>
  <c r="E19" i="36"/>
  <c r="A19" i="36"/>
  <c r="P18" i="36"/>
  <c r="O18" i="36"/>
  <c r="K18" i="36"/>
  <c r="J18" i="36"/>
  <c r="I18" i="36"/>
  <c r="F18" i="36"/>
  <c r="E18" i="36"/>
  <c r="A18" i="36"/>
  <c r="P16" i="36"/>
  <c r="M16" i="36"/>
  <c r="K16" i="36"/>
  <c r="J16" i="36"/>
  <c r="I16" i="36"/>
  <c r="F16" i="36"/>
  <c r="E16" i="36"/>
  <c r="A16" i="36"/>
  <c r="AA15" i="36"/>
  <c r="P15" i="36"/>
  <c r="M15" i="36"/>
  <c r="K15" i="36"/>
  <c r="J15" i="36"/>
  <c r="I15" i="36"/>
  <c r="F15" i="36"/>
  <c r="E15" i="36"/>
  <c r="A15" i="36"/>
  <c r="AA14" i="36"/>
  <c r="P14" i="36"/>
  <c r="M14" i="36"/>
  <c r="K14" i="36"/>
  <c r="J14" i="36"/>
  <c r="I14" i="36"/>
  <c r="F14" i="36"/>
  <c r="E14" i="36"/>
  <c r="A14" i="36"/>
  <c r="AA13" i="36"/>
  <c r="P13" i="36"/>
  <c r="M13" i="36"/>
  <c r="K13" i="36"/>
  <c r="J13" i="36"/>
  <c r="I13" i="36"/>
  <c r="F13" i="36"/>
  <c r="E13" i="36"/>
  <c r="A13" i="36"/>
  <c r="AA12" i="36"/>
  <c r="P12" i="36"/>
  <c r="M12" i="36"/>
  <c r="K12" i="36"/>
  <c r="J12" i="36"/>
  <c r="I12" i="36"/>
  <c r="F12" i="36"/>
  <c r="E12" i="36"/>
  <c r="A12" i="36"/>
  <c r="P11" i="36"/>
  <c r="K11" i="36"/>
  <c r="J11" i="36"/>
  <c r="I11" i="36"/>
  <c r="F11" i="36"/>
  <c r="E11" i="36"/>
  <c r="A11" i="36"/>
  <c r="AA10" i="36"/>
  <c r="AA9" i="36"/>
  <c r="P7" i="36"/>
  <c r="J7" i="36"/>
  <c r="P6" i="36"/>
  <c r="J6" i="36"/>
  <c r="C6" i="36"/>
  <c r="P5" i="36"/>
  <c r="J5" i="36"/>
  <c r="P4" i="36"/>
  <c r="P3" i="36"/>
  <c r="I92" i="35"/>
  <c r="H92" i="35"/>
  <c r="G92" i="35"/>
  <c r="F92" i="35"/>
  <c r="E92" i="35"/>
  <c r="D92" i="35"/>
  <c r="C92" i="35"/>
  <c r="B92" i="35"/>
  <c r="A92" i="35"/>
  <c r="I91" i="35"/>
  <c r="H91" i="35"/>
  <c r="G91" i="35"/>
  <c r="F91" i="35"/>
  <c r="E91" i="35"/>
  <c r="D91" i="35"/>
  <c r="C91" i="35"/>
  <c r="B91" i="35"/>
  <c r="A91" i="35"/>
  <c r="I90" i="35"/>
  <c r="H90" i="35"/>
  <c r="G90" i="35"/>
  <c r="F90" i="35"/>
  <c r="E90" i="35"/>
  <c r="D90" i="35"/>
  <c r="C90" i="35"/>
  <c r="B90" i="35"/>
  <c r="A90" i="35"/>
  <c r="I89" i="35"/>
  <c r="H89" i="35"/>
  <c r="G89" i="35"/>
  <c r="F89" i="35"/>
  <c r="E89" i="35"/>
  <c r="D89" i="35"/>
  <c r="C89" i="35"/>
  <c r="B89" i="35"/>
  <c r="A89" i="35"/>
  <c r="I88" i="35"/>
  <c r="H88" i="35"/>
  <c r="G88" i="35"/>
  <c r="F88" i="35"/>
  <c r="E88" i="35"/>
  <c r="D88" i="35"/>
  <c r="C88" i="35"/>
  <c r="B88" i="35"/>
  <c r="A88" i="35"/>
  <c r="I87" i="35"/>
  <c r="H87" i="35"/>
  <c r="G87" i="35"/>
  <c r="F87" i="35"/>
  <c r="E87" i="35"/>
  <c r="D87" i="35"/>
  <c r="C87" i="35"/>
  <c r="B87" i="35"/>
  <c r="A87" i="35"/>
  <c r="I86" i="35"/>
  <c r="H86" i="35"/>
  <c r="G86" i="35"/>
  <c r="F86" i="35"/>
  <c r="E86" i="35"/>
  <c r="D86" i="35"/>
  <c r="C86" i="35"/>
  <c r="Q84" i="35"/>
  <c r="P84" i="35"/>
  <c r="O84" i="35"/>
  <c r="N84" i="35"/>
  <c r="Q83" i="35"/>
  <c r="P83" i="35"/>
  <c r="O83" i="35"/>
  <c r="N83" i="35"/>
  <c r="Q82" i="35"/>
  <c r="P82" i="35"/>
  <c r="O82" i="35"/>
  <c r="N82" i="35"/>
  <c r="Q81" i="35"/>
  <c r="P81" i="35"/>
  <c r="O81" i="35"/>
  <c r="N81" i="35"/>
  <c r="Q80" i="35"/>
  <c r="P80" i="35"/>
  <c r="O80" i="35"/>
  <c r="N80" i="35"/>
  <c r="Q79" i="35"/>
  <c r="P79" i="35"/>
  <c r="O79" i="35"/>
  <c r="N79" i="35"/>
  <c r="Q70" i="35"/>
  <c r="P70" i="35"/>
  <c r="O70" i="35"/>
  <c r="N70" i="35"/>
  <c r="M70" i="35"/>
  <c r="L70" i="35"/>
  <c r="K70" i="35"/>
  <c r="Q69" i="35"/>
  <c r="P69" i="35"/>
  <c r="O69" i="35"/>
  <c r="N69" i="35"/>
  <c r="M69" i="35"/>
  <c r="L69" i="35"/>
  <c r="K69" i="35"/>
  <c r="Q68" i="35"/>
  <c r="P68" i="35"/>
  <c r="O68" i="35"/>
  <c r="N68" i="35"/>
  <c r="M68" i="35"/>
  <c r="L68" i="35"/>
  <c r="K68" i="35"/>
  <c r="Q67" i="35"/>
  <c r="P67" i="35"/>
  <c r="O67" i="35"/>
  <c r="N67" i="35"/>
  <c r="M67" i="35"/>
  <c r="L67" i="35"/>
  <c r="K67" i="35"/>
  <c r="Q66" i="35"/>
  <c r="P66" i="35"/>
  <c r="O66" i="35"/>
  <c r="N66" i="35"/>
  <c r="M66" i="35"/>
  <c r="L66" i="35"/>
  <c r="K66" i="35"/>
  <c r="Q65" i="35"/>
  <c r="P65" i="35"/>
  <c r="O65" i="35"/>
  <c r="N65" i="35"/>
  <c r="M65" i="35"/>
  <c r="L65" i="35"/>
  <c r="K65" i="35"/>
  <c r="Q64" i="35"/>
  <c r="P64" i="35"/>
  <c r="O64" i="35"/>
  <c r="N64" i="35"/>
  <c r="M64" i="35"/>
  <c r="L64" i="35"/>
  <c r="M51" i="35"/>
  <c r="K51" i="35"/>
  <c r="J51" i="35"/>
  <c r="I51" i="35"/>
  <c r="F51" i="35"/>
  <c r="E51" i="35"/>
  <c r="B51" i="35"/>
  <c r="A51" i="35"/>
  <c r="AA50" i="35"/>
  <c r="M50" i="35"/>
  <c r="K50" i="35"/>
  <c r="J50" i="35"/>
  <c r="I50" i="35"/>
  <c r="F50" i="35"/>
  <c r="E50" i="35"/>
  <c r="B50" i="35"/>
  <c r="A50" i="35"/>
  <c r="AA49" i="35"/>
  <c r="M49" i="35"/>
  <c r="K49" i="35"/>
  <c r="J49" i="35"/>
  <c r="I49" i="35"/>
  <c r="F49" i="35"/>
  <c r="E49" i="35"/>
  <c r="B49" i="35"/>
  <c r="A49" i="35"/>
  <c r="AA48" i="35"/>
  <c r="M48" i="35"/>
  <c r="K48" i="35"/>
  <c r="J48" i="35"/>
  <c r="I48" i="35"/>
  <c r="F48" i="35"/>
  <c r="E48" i="35"/>
  <c r="B48" i="35"/>
  <c r="A48" i="35"/>
  <c r="AA47" i="35"/>
  <c r="M47" i="35"/>
  <c r="K47" i="35"/>
  <c r="J47" i="35"/>
  <c r="I47" i="35"/>
  <c r="F47" i="35"/>
  <c r="E47" i="35"/>
  <c r="B47" i="35"/>
  <c r="A47" i="35"/>
  <c r="K46" i="35"/>
  <c r="J46" i="35"/>
  <c r="I46" i="35"/>
  <c r="F46" i="35"/>
  <c r="E46" i="35"/>
  <c r="B46" i="35"/>
  <c r="A46" i="35"/>
  <c r="M44" i="35"/>
  <c r="K44" i="35"/>
  <c r="J44" i="35"/>
  <c r="I44" i="35"/>
  <c r="F44" i="35"/>
  <c r="E44" i="35"/>
  <c r="B44" i="35"/>
  <c r="A44" i="35"/>
  <c r="AA43" i="35"/>
  <c r="M43" i="35"/>
  <c r="K43" i="35"/>
  <c r="J43" i="35"/>
  <c r="I43" i="35"/>
  <c r="F43" i="35"/>
  <c r="E43" i="35"/>
  <c r="B43" i="35"/>
  <c r="A43" i="35"/>
  <c r="AA42" i="35"/>
  <c r="M42" i="35"/>
  <c r="K42" i="35"/>
  <c r="J42" i="35"/>
  <c r="I42" i="35"/>
  <c r="F42" i="35"/>
  <c r="E42" i="35"/>
  <c r="B42" i="35"/>
  <c r="A42" i="35"/>
  <c r="AA41" i="35"/>
  <c r="M41" i="35"/>
  <c r="K41" i="35"/>
  <c r="J41" i="35"/>
  <c r="I41" i="35"/>
  <c r="F41" i="35"/>
  <c r="E41" i="35"/>
  <c r="B41" i="35"/>
  <c r="A41" i="35"/>
  <c r="AA40" i="35"/>
  <c r="M40" i="35"/>
  <c r="K40" i="35"/>
  <c r="J40" i="35"/>
  <c r="I40" i="35"/>
  <c r="F40" i="35"/>
  <c r="E40" i="35"/>
  <c r="B40" i="35"/>
  <c r="A40" i="35"/>
  <c r="K39" i="35"/>
  <c r="J39" i="35"/>
  <c r="I39" i="35"/>
  <c r="F39" i="35"/>
  <c r="E39" i="35"/>
  <c r="B39" i="35"/>
  <c r="A39" i="35"/>
  <c r="M37" i="35"/>
  <c r="K37" i="35"/>
  <c r="J37" i="35"/>
  <c r="I37" i="35"/>
  <c r="F37" i="35"/>
  <c r="E37" i="35"/>
  <c r="B37" i="35"/>
  <c r="A37" i="35"/>
  <c r="AA36" i="35"/>
  <c r="M36" i="35"/>
  <c r="K36" i="35"/>
  <c r="J36" i="35"/>
  <c r="I36" i="35"/>
  <c r="F36" i="35"/>
  <c r="E36" i="35"/>
  <c r="B36" i="35"/>
  <c r="A36" i="35"/>
  <c r="AA35" i="35"/>
  <c r="M35" i="35"/>
  <c r="K35" i="35"/>
  <c r="J35" i="35"/>
  <c r="I35" i="35"/>
  <c r="F35" i="35"/>
  <c r="E35" i="35"/>
  <c r="B35" i="35"/>
  <c r="A35" i="35"/>
  <c r="AA34" i="35"/>
  <c r="M34" i="35"/>
  <c r="K34" i="35"/>
  <c r="J34" i="35"/>
  <c r="I34" i="35"/>
  <c r="F34" i="35"/>
  <c r="E34" i="35"/>
  <c r="B34" i="35"/>
  <c r="A34" i="35"/>
  <c r="AA33" i="35"/>
  <c r="M33" i="35"/>
  <c r="K33" i="35"/>
  <c r="J33" i="35"/>
  <c r="I33" i="35"/>
  <c r="F33" i="35"/>
  <c r="E33" i="35"/>
  <c r="B33" i="35"/>
  <c r="A33" i="35"/>
  <c r="K32" i="35"/>
  <c r="J32" i="35"/>
  <c r="I32" i="35"/>
  <c r="F32" i="35"/>
  <c r="E32" i="35"/>
  <c r="B32" i="35"/>
  <c r="A32" i="35"/>
  <c r="M30" i="35"/>
  <c r="K30" i="35"/>
  <c r="J30" i="35"/>
  <c r="I30" i="35"/>
  <c r="F30" i="35"/>
  <c r="E30" i="35"/>
  <c r="B30" i="35"/>
  <c r="A30" i="35"/>
  <c r="AA29" i="35"/>
  <c r="M29" i="35"/>
  <c r="K29" i="35"/>
  <c r="J29" i="35"/>
  <c r="I29" i="35"/>
  <c r="F29" i="35"/>
  <c r="E29" i="35"/>
  <c r="B29" i="35"/>
  <c r="A29" i="35"/>
  <c r="AA28" i="35"/>
  <c r="M28" i="35"/>
  <c r="K28" i="35"/>
  <c r="J28" i="35"/>
  <c r="I28" i="35"/>
  <c r="F28" i="35"/>
  <c r="E28" i="35"/>
  <c r="B28" i="35"/>
  <c r="A28" i="35"/>
  <c r="AA27" i="35"/>
  <c r="M27" i="35"/>
  <c r="K27" i="35"/>
  <c r="J27" i="35"/>
  <c r="I27" i="35"/>
  <c r="F27" i="35"/>
  <c r="E27" i="35"/>
  <c r="B27" i="35"/>
  <c r="A27" i="35"/>
  <c r="AA26" i="35"/>
  <c r="M26" i="35"/>
  <c r="K26" i="35"/>
  <c r="J26" i="35"/>
  <c r="I26" i="35"/>
  <c r="F26" i="35"/>
  <c r="E26" i="35"/>
  <c r="B26" i="35"/>
  <c r="A26" i="35"/>
  <c r="K25" i="35"/>
  <c r="J25" i="35"/>
  <c r="I25" i="35"/>
  <c r="F25" i="35"/>
  <c r="E25" i="35"/>
  <c r="B25" i="35"/>
  <c r="A25" i="35"/>
  <c r="P23" i="35"/>
  <c r="O23" i="35"/>
  <c r="M23" i="35"/>
  <c r="K23" i="35"/>
  <c r="J23" i="35"/>
  <c r="I23" i="35"/>
  <c r="F23" i="35"/>
  <c r="E23" i="35"/>
  <c r="B23" i="35"/>
  <c r="A23" i="35"/>
  <c r="AA22" i="35"/>
  <c r="P22" i="35"/>
  <c r="O22" i="35"/>
  <c r="M22" i="35"/>
  <c r="K22" i="35"/>
  <c r="J22" i="35"/>
  <c r="I22" i="35"/>
  <c r="F22" i="35"/>
  <c r="E22" i="35"/>
  <c r="B22" i="35"/>
  <c r="A22" i="35"/>
  <c r="AA21" i="35"/>
  <c r="P21" i="35"/>
  <c r="O21" i="35"/>
  <c r="M21" i="35"/>
  <c r="K21" i="35"/>
  <c r="J21" i="35"/>
  <c r="I21" i="35"/>
  <c r="F21" i="35"/>
  <c r="E21" i="35"/>
  <c r="B21" i="35"/>
  <c r="A21" i="35"/>
  <c r="AA20" i="35"/>
  <c r="P20" i="35"/>
  <c r="O20" i="35"/>
  <c r="M20" i="35"/>
  <c r="K20" i="35"/>
  <c r="J20" i="35"/>
  <c r="I20" i="35"/>
  <c r="F20" i="35"/>
  <c r="E20" i="35"/>
  <c r="B20" i="35"/>
  <c r="A20" i="35"/>
  <c r="AA19" i="35"/>
  <c r="P19" i="35"/>
  <c r="O19" i="35"/>
  <c r="M19" i="35"/>
  <c r="K19" i="35"/>
  <c r="J19" i="35"/>
  <c r="I19" i="35"/>
  <c r="F19" i="35"/>
  <c r="E19" i="35"/>
  <c r="B19" i="35"/>
  <c r="A19" i="35"/>
  <c r="P18" i="35"/>
  <c r="O18" i="35"/>
  <c r="K18" i="35"/>
  <c r="J18" i="35"/>
  <c r="I18" i="35"/>
  <c r="F18" i="35"/>
  <c r="E18" i="35"/>
  <c r="B18" i="35"/>
  <c r="A18" i="35"/>
  <c r="P16" i="35"/>
  <c r="M16" i="35"/>
  <c r="K16" i="35"/>
  <c r="J16" i="35"/>
  <c r="I16" i="35"/>
  <c r="F16" i="35"/>
  <c r="E16" i="35"/>
  <c r="B16" i="35"/>
  <c r="A16" i="35"/>
  <c r="AA15" i="35"/>
  <c r="P15" i="35"/>
  <c r="M15" i="35"/>
  <c r="K15" i="35"/>
  <c r="J15" i="35"/>
  <c r="I15" i="35"/>
  <c r="F15" i="35"/>
  <c r="E15" i="35"/>
  <c r="B15" i="35"/>
  <c r="A15" i="35"/>
  <c r="AA14" i="35"/>
  <c r="P14" i="35"/>
  <c r="M14" i="35"/>
  <c r="K14" i="35"/>
  <c r="J14" i="35"/>
  <c r="I14" i="35"/>
  <c r="F14" i="35"/>
  <c r="E14" i="35"/>
  <c r="B14" i="35"/>
  <c r="A14" i="35"/>
  <c r="AA13" i="35"/>
  <c r="P13" i="35"/>
  <c r="M13" i="35"/>
  <c r="K13" i="35"/>
  <c r="J13" i="35"/>
  <c r="I13" i="35"/>
  <c r="F13" i="35"/>
  <c r="E13" i="35"/>
  <c r="B13" i="35"/>
  <c r="A13" i="35"/>
  <c r="AA12" i="35"/>
  <c r="P12" i="35"/>
  <c r="M12" i="35"/>
  <c r="K12" i="35"/>
  <c r="J12" i="35"/>
  <c r="I12" i="35"/>
  <c r="F12" i="35"/>
  <c r="E12" i="35"/>
  <c r="B12" i="35"/>
  <c r="A12" i="35"/>
  <c r="P11" i="35"/>
  <c r="K11" i="35"/>
  <c r="J11" i="35"/>
  <c r="I11" i="35"/>
  <c r="F11" i="35"/>
  <c r="E11" i="35"/>
  <c r="B11" i="35"/>
  <c r="A11" i="35"/>
  <c r="AA10" i="35"/>
  <c r="AA9" i="35"/>
  <c r="P7" i="35"/>
  <c r="J7" i="35"/>
  <c r="P6" i="35"/>
  <c r="J6" i="35"/>
  <c r="C6" i="35"/>
  <c r="P5" i="35"/>
  <c r="J5" i="35"/>
  <c r="P4" i="35"/>
  <c r="P3" i="35"/>
  <c r="K58" i="34"/>
  <c r="K57" i="34"/>
  <c r="J57" i="34"/>
  <c r="H57" i="34"/>
  <c r="G57" i="34"/>
  <c r="F57" i="34"/>
  <c r="E57" i="34"/>
  <c r="K56" i="34"/>
  <c r="J56" i="34"/>
  <c r="H56" i="34"/>
  <c r="G56" i="34"/>
  <c r="F56" i="34"/>
  <c r="E56" i="34"/>
  <c r="K55" i="34"/>
  <c r="J55" i="34"/>
  <c r="F55" i="34"/>
  <c r="E55" i="34"/>
  <c r="K54" i="34"/>
  <c r="J54" i="34"/>
  <c r="F54" i="34"/>
  <c r="E54" i="34"/>
  <c r="K53" i="34"/>
  <c r="J53" i="34"/>
  <c r="F53" i="34"/>
  <c r="E53" i="34"/>
  <c r="K52" i="34"/>
  <c r="J52" i="34"/>
  <c r="H52" i="34"/>
  <c r="G52" i="34"/>
  <c r="F52" i="34"/>
  <c r="E52" i="34"/>
  <c r="C52" i="34"/>
  <c r="K51" i="34"/>
  <c r="J51" i="34"/>
  <c r="H51" i="34"/>
  <c r="G51" i="34"/>
  <c r="F51" i="34"/>
  <c r="C51" i="34"/>
  <c r="K50" i="34"/>
  <c r="J50" i="34"/>
  <c r="H50" i="34"/>
  <c r="G50" i="34"/>
  <c r="F50" i="34"/>
  <c r="E50" i="34"/>
  <c r="C50" i="34"/>
  <c r="K49" i="34"/>
  <c r="J49" i="34"/>
  <c r="H49" i="34"/>
  <c r="G49" i="34"/>
  <c r="F49" i="34"/>
  <c r="E49" i="34"/>
  <c r="C49" i="34"/>
  <c r="K48" i="34"/>
  <c r="J48" i="34"/>
  <c r="H48" i="34"/>
  <c r="G48" i="34"/>
  <c r="F48" i="34"/>
  <c r="E48" i="34"/>
  <c r="C48" i="34"/>
  <c r="K47" i="34"/>
  <c r="J47" i="34"/>
  <c r="H47" i="34"/>
  <c r="G47" i="34"/>
  <c r="F47" i="34"/>
  <c r="C47" i="34"/>
  <c r="K46" i="34"/>
  <c r="J46" i="34"/>
  <c r="H46" i="34"/>
  <c r="G46" i="34"/>
  <c r="F46" i="34"/>
  <c r="E46" i="34"/>
  <c r="C46" i="34"/>
  <c r="K45" i="34"/>
  <c r="J45" i="34"/>
  <c r="H45" i="34"/>
  <c r="G45" i="34"/>
  <c r="F45" i="34"/>
  <c r="C45" i="34"/>
  <c r="K44" i="34"/>
  <c r="J44" i="34"/>
  <c r="H44" i="34"/>
  <c r="G44" i="34"/>
  <c r="F44" i="34"/>
  <c r="E44" i="34"/>
  <c r="C44" i="34"/>
  <c r="K43" i="34"/>
  <c r="J43" i="34"/>
  <c r="H43" i="34"/>
  <c r="G43" i="34"/>
  <c r="F43" i="34"/>
  <c r="E43" i="34"/>
  <c r="C43" i="34"/>
  <c r="K42" i="34"/>
  <c r="J42" i="34"/>
  <c r="H42" i="34"/>
  <c r="G42" i="34"/>
  <c r="F42" i="34"/>
  <c r="E42" i="34"/>
  <c r="C42" i="34"/>
  <c r="K41" i="34"/>
  <c r="J41" i="34"/>
  <c r="F41" i="34"/>
  <c r="C41" i="34"/>
  <c r="K40" i="34"/>
  <c r="J40" i="34"/>
  <c r="H40" i="34"/>
  <c r="G40" i="34"/>
  <c r="F40" i="34"/>
  <c r="C40" i="34"/>
  <c r="K39" i="34"/>
  <c r="J39" i="34"/>
  <c r="H39" i="34"/>
  <c r="G39" i="34"/>
  <c r="F39" i="34"/>
  <c r="E39" i="34"/>
  <c r="C39" i="34"/>
  <c r="K38" i="34"/>
  <c r="J38" i="34"/>
  <c r="H38" i="34"/>
  <c r="G38" i="34"/>
  <c r="F38" i="34"/>
  <c r="E38" i="34"/>
  <c r="C38" i="34"/>
  <c r="K37" i="34"/>
  <c r="J37" i="34"/>
  <c r="H37" i="34"/>
  <c r="G37" i="34"/>
  <c r="F37" i="34"/>
  <c r="E37" i="34"/>
  <c r="C37" i="34"/>
  <c r="K36" i="34"/>
  <c r="J36" i="34"/>
  <c r="H36" i="34"/>
  <c r="G36" i="34"/>
  <c r="F36" i="34"/>
  <c r="E36" i="34"/>
  <c r="C36" i="34"/>
  <c r="K35" i="34"/>
  <c r="J35" i="34"/>
  <c r="C35" i="34"/>
  <c r="K34" i="34"/>
  <c r="J34" i="34"/>
  <c r="C34" i="34"/>
  <c r="K33" i="34"/>
  <c r="J33" i="34"/>
  <c r="C33" i="34"/>
  <c r="K32" i="34"/>
  <c r="J32" i="34"/>
  <c r="C32" i="34"/>
  <c r="K31" i="34"/>
  <c r="J31" i="34"/>
  <c r="C31" i="34"/>
  <c r="K30" i="34"/>
  <c r="J30" i="34"/>
  <c r="C30" i="34"/>
  <c r="K29" i="34"/>
  <c r="J29" i="34"/>
  <c r="C29" i="34"/>
  <c r="K28" i="34"/>
  <c r="J28" i="34"/>
  <c r="C28" i="34"/>
  <c r="K27" i="34"/>
  <c r="J27" i="34"/>
  <c r="C27" i="34"/>
  <c r="K26" i="34"/>
  <c r="J26" i="34"/>
  <c r="C26" i="34"/>
  <c r="K25" i="34"/>
  <c r="J25" i="34"/>
  <c r="C25" i="34"/>
  <c r="K24" i="34"/>
  <c r="J24" i="34"/>
  <c r="C24" i="34"/>
  <c r="K23" i="34"/>
  <c r="J23" i="34"/>
  <c r="C23" i="34"/>
  <c r="K22" i="34"/>
  <c r="J22" i="34"/>
  <c r="C22" i="34"/>
  <c r="K21" i="34"/>
  <c r="J21" i="34"/>
  <c r="C21" i="34"/>
  <c r="K20" i="34"/>
  <c r="J20" i="34"/>
  <c r="C20" i="34"/>
  <c r="K19" i="34"/>
  <c r="J19" i="34"/>
  <c r="E19" i="34"/>
  <c r="C19" i="34"/>
  <c r="K18" i="34"/>
  <c r="J18" i="34"/>
  <c r="C18" i="34"/>
  <c r="K17" i="34"/>
  <c r="J17" i="34"/>
  <c r="C17" i="34"/>
  <c r="K16" i="34"/>
  <c r="J16" i="34"/>
  <c r="C16" i="34"/>
  <c r="K15" i="34"/>
  <c r="J15" i="34"/>
  <c r="C15" i="34"/>
  <c r="K14" i="34"/>
  <c r="J14" i="34"/>
  <c r="C14" i="34"/>
  <c r="K13" i="34"/>
  <c r="J13" i="34"/>
  <c r="C13" i="34"/>
  <c r="K12" i="34"/>
  <c r="J12" i="34"/>
  <c r="C12" i="34"/>
  <c r="K11" i="34"/>
  <c r="J11" i="34"/>
  <c r="C11" i="34"/>
  <c r="K10" i="34"/>
  <c r="J10" i="34"/>
  <c r="C10" i="34"/>
  <c r="L41" i="12"/>
  <c r="T38" i="12"/>
  <c r="U38" i="12" s="1"/>
  <c r="U37" i="12"/>
  <c r="M37" i="12"/>
  <c r="M36" i="12"/>
  <c r="M35" i="12"/>
  <c r="J6" i="12" s="1"/>
  <c r="J8" i="12" s="1"/>
  <c r="M34" i="12"/>
  <c r="M33" i="12"/>
  <c r="J5" i="12" s="1"/>
  <c r="J7" i="12" s="1"/>
  <c r="Q16" i="12"/>
  <c r="Q15" i="12" s="1"/>
  <c r="P15" i="12"/>
  <c r="O15" i="12"/>
  <c r="P14" i="12"/>
  <c r="O14" i="12"/>
  <c r="P13" i="12"/>
  <c r="O13" i="12"/>
  <c r="Q12" i="12"/>
  <c r="P11" i="12"/>
  <c r="P7" i="12" s="1"/>
  <c r="O11" i="12"/>
  <c r="P10" i="12"/>
  <c r="O10" i="12"/>
  <c r="P9" i="12"/>
  <c r="O9" i="12"/>
  <c r="P8" i="12"/>
  <c r="Q8" i="12"/>
  <c r="Q7" i="12"/>
  <c r="P6" i="12"/>
  <c r="Q6" i="12"/>
  <c r="Q5" i="12"/>
  <c r="C2" i="12"/>
  <c r="C1" i="12"/>
  <c r="Q86" i="5"/>
  <c r="Q84" i="5"/>
  <c r="Q65" i="5"/>
  <c r="Q63" i="5"/>
  <c r="Q66" i="5" s="1"/>
  <c r="Q57" i="5"/>
  <c r="Q55" i="5"/>
  <c r="G49" i="5"/>
  <c r="G48" i="5"/>
  <c r="I39" i="5"/>
  <c r="G29" i="5"/>
  <c r="V27" i="5"/>
  <c r="V28" i="5" s="1"/>
  <c r="V23" i="5"/>
  <c r="V22" i="5"/>
  <c r="S21" i="5"/>
  <c r="S20" i="5"/>
  <c r="S19" i="5"/>
  <c r="I18" i="5"/>
  <c r="Q15" i="5"/>
  <c r="W15" i="5" s="1"/>
  <c r="P15" i="5"/>
  <c r="Q40" i="5" s="1"/>
  <c r="J22" i="12" s="1"/>
  <c r="S22" i="5" l="1"/>
  <c r="G43" i="5" s="1"/>
  <c r="R48" i="5"/>
  <c r="Y15" i="5"/>
  <c r="U30" i="37"/>
  <c r="J12" i="12"/>
  <c r="S31" i="37"/>
  <c r="B80" i="41"/>
  <c r="R74" i="41" s="1"/>
  <c r="T15" i="5"/>
  <c r="U15" i="5" s="1"/>
  <c r="V15" i="5"/>
  <c r="G32" i="5" s="1"/>
  <c r="B81" i="40"/>
  <c r="S73" i="40" s="1"/>
  <c r="B81" i="41"/>
  <c r="S73" i="41" s="1"/>
  <c r="B80" i="40"/>
  <c r="R74" i="40" s="1"/>
  <c r="B80" i="43"/>
  <c r="R74" i="43" s="1"/>
  <c r="B80" i="42"/>
  <c r="R74" i="42" s="1"/>
  <c r="J26" i="12"/>
  <c r="J25" i="12"/>
  <c r="B81" i="42"/>
  <c r="B97" i="42" s="1"/>
  <c r="J24" i="12"/>
  <c r="B81" i="39"/>
  <c r="T73" i="39" s="1"/>
  <c r="J23" i="12"/>
  <c r="B81" i="43"/>
  <c r="R73" i="43" s="1"/>
  <c r="E6" i="38"/>
  <c r="P37" i="41"/>
  <c r="Q37" i="41" s="1"/>
  <c r="R37" i="41" s="1"/>
  <c r="I59" i="43"/>
  <c r="L43" i="43"/>
  <c r="I40" i="43"/>
  <c r="I33" i="43"/>
  <c r="I26" i="43"/>
  <c r="L58" i="43"/>
  <c r="I54" i="43"/>
  <c r="I50" i="43"/>
  <c r="O45" i="43"/>
  <c r="I43" i="43"/>
  <c r="O38" i="43"/>
  <c r="B37" i="43"/>
  <c r="I36" i="43"/>
  <c r="O31" i="43"/>
  <c r="R30" i="43"/>
  <c r="I29" i="43"/>
  <c r="L54" i="43"/>
  <c r="I47" i="43"/>
  <c r="L36" i="43"/>
  <c r="Y65" i="43"/>
  <c r="I58" i="43"/>
  <c r="O57" i="43"/>
  <c r="O52" i="43"/>
  <c r="O49" i="43"/>
  <c r="L45" i="43"/>
  <c r="O42" i="43"/>
  <c r="L38" i="43"/>
  <c r="O35" i="43"/>
  <c r="B34" i="43"/>
  <c r="L31" i="43"/>
  <c r="O28" i="43"/>
  <c r="O58" i="43"/>
  <c r="I55" i="43"/>
  <c r="L50" i="43"/>
  <c r="L29" i="43"/>
  <c r="I87" i="43"/>
  <c r="L57" i="43"/>
  <c r="L52" i="43"/>
  <c r="L49" i="43"/>
  <c r="I45" i="43"/>
  <c r="P45" i="43" s="1"/>
  <c r="L42" i="43"/>
  <c r="I38" i="43"/>
  <c r="L35" i="43"/>
  <c r="B33" i="43"/>
  <c r="F87" i="43" s="1"/>
  <c r="I31" i="43"/>
  <c r="L28" i="43"/>
  <c r="U71" i="43"/>
  <c r="I57" i="43"/>
  <c r="O56" i="43"/>
  <c r="I52" i="43"/>
  <c r="I49" i="43"/>
  <c r="O44" i="43"/>
  <c r="I42" i="43"/>
  <c r="O37" i="43"/>
  <c r="B36" i="43"/>
  <c r="I35" i="43"/>
  <c r="O30" i="43"/>
  <c r="I28" i="43"/>
  <c r="L56" i="43"/>
  <c r="L51" i="43"/>
  <c r="O48" i="43"/>
  <c r="L44" i="43"/>
  <c r="O41" i="43"/>
  <c r="L37" i="43"/>
  <c r="O34" i="43"/>
  <c r="T31" i="43"/>
  <c r="L30" i="43"/>
  <c r="O27" i="43"/>
  <c r="O59" i="43"/>
  <c r="I56" i="43"/>
  <c r="O55" i="43"/>
  <c r="I51" i="43"/>
  <c r="L48" i="43"/>
  <c r="O47" i="43"/>
  <c r="I44" i="43"/>
  <c r="L41" i="43"/>
  <c r="O40" i="43"/>
  <c r="B38" i="43"/>
  <c r="I37" i="43"/>
  <c r="L34" i="43"/>
  <c r="O33" i="43"/>
  <c r="I30" i="43"/>
  <c r="L27" i="43"/>
  <c r="O26" i="43"/>
  <c r="L59" i="43"/>
  <c r="L55" i="43"/>
  <c r="O54" i="43"/>
  <c r="O50" i="43"/>
  <c r="I48" i="43"/>
  <c r="L47" i="43"/>
  <c r="O43" i="43"/>
  <c r="I41" i="43"/>
  <c r="L40" i="43"/>
  <c r="O36" i="43"/>
  <c r="I34" i="43"/>
  <c r="L33" i="43"/>
  <c r="O29" i="43"/>
  <c r="I27" i="43"/>
  <c r="L26" i="42"/>
  <c r="I27" i="42"/>
  <c r="O29" i="42"/>
  <c r="L33" i="42"/>
  <c r="I34" i="42"/>
  <c r="O36" i="42"/>
  <c r="I40" i="42"/>
  <c r="L43" i="42"/>
  <c r="L47" i="42"/>
  <c r="I48" i="42"/>
  <c r="O50" i="42"/>
  <c r="L54" i="42"/>
  <c r="I55" i="42"/>
  <c r="O58" i="42"/>
  <c r="I59" i="42"/>
  <c r="I29" i="42"/>
  <c r="O42" i="42"/>
  <c r="O52" i="42"/>
  <c r="O38" i="42"/>
  <c r="I47" i="42"/>
  <c r="L50" i="42"/>
  <c r="L58" i="42"/>
  <c r="O26" i="42"/>
  <c r="L27" i="42"/>
  <c r="I30" i="42"/>
  <c r="O33" i="42"/>
  <c r="L34" i="42"/>
  <c r="I37" i="42"/>
  <c r="L40" i="42"/>
  <c r="I41" i="42"/>
  <c r="O43" i="42"/>
  <c r="O47" i="42"/>
  <c r="L48" i="42"/>
  <c r="I51" i="42"/>
  <c r="O54" i="42"/>
  <c r="L55" i="42"/>
  <c r="L59" i="42"/>
  <c r="O31" i="42"/>
  <c r="I58" i="42"/>
  <c r="I26" i="42"/>
  <c r="I33" i="42"/>
  <c r="I43" i="42"/>
  <c r="O27" i="42"/>
  <c r="L30" i="42"/>
  <c r="O34" i="42"/>
  <c r="L37" i="42"/>
  <c r="O40" i="42"/>
  <c r="L41" i="42"/>
  <c r="I44" i="42"/>
  <c r="O48" i="42"/>
  <c r="L51" i="42"/>
  <c r="O55" i="42"/>
  <c r="I56" i="42"/>
  <c r="O59" i="42"/>
  <c r="I36" i="42"/>
  <c r="L38" i="42"/>
  <c r="O57" i="42"/>
  <c r="I54" i="42"/>
  <c r="I28" i="42"/>
  <c r="O30" i="42"/>
  <c r="I35" i="42"/>
  <c r="O37" i="42"/>
  <c r="O41" i="42"/>
  <c r="L44" i="42"/>
  <c r="I49" i="42"/>
  <c r="O51" i="42"/>
  <c r="L56" i="42"/>
  <c r="O45" i="42"/>
  <c r="I50" i="42"/>
  <c r="L29" i="42"/>
  <c r="L36" i="42"/>
  <c r="L28" i="42"/>
  <c r="I31" i="42"/>
  <c r="L35" i="42"/>
  <c r="I38" i="42"/>
  <c r="I42" i="42"/>
  <c r="O44" i="42"/>
  <c r="L49" i="42"/>
  <c r="I52" i="42"/>
  <c r="O56" i="42"/>
  <c r="I57" i="42"/>
  <c r="O28" i="42"/>
  <c r="L31" i="42"/>
  <c r="O35" i="42"/>
  <c r="L42" i="42"/>
  <c r="I45" i="42"/>
  <c r="O49" i="42"/>
  <c r="L52" i="42"/>
  <c r="L57" i="42"/>
  <c r="B92" i="42"/>
  <c r="B88" i="42"/>
  <c r="U71" i="42"/>
  <c r="F50" i="42"/>
  <c r="H91" i="42" s="1"/>
  <c r="J91" i="42" s="1"/>
  <c r="F36" i="42"/>
  <c r="F91" i="42" s="1"/>
  <c r="B34" i="42"/>
  <c r="F19" i="42"/>
  <c r="D88" i="42" s="1"/>
  <c r="V85" i="42" s="1"/>
  <c r="B89" i="42"/>
  <c r="U68" i="42"/>
  <c r="B33" i="42"/>
  <c r="T29" i="42"/>
  <c r="F22" i="42"/>
  <c r="B37" i="42"/>
  <c r="F13" i="42"/>
  <c r="B90" i="42"/>
  <c r="F57" i="42"/>
  <c r="I91" i="42" s="1"/>
  <c r="F52" i="42"/>
  <c r="H93" i="42" s="1"/>
  <c r="J93" i="42" s="1"/>
  <c r="B36" i="42"/>
  <c r="T22" i="42"/>
  <c r="R30" i="42"/>
  <c r="B91" i="42"/>
  <c r="F35" i="42"/>
  <c r="F90" i="42" s="1"/>
  <c r="T31" i="42"/>
  <c r="F24" i="42"/>
  <c r="B38" i="42"/>
  <c r="P54" i="41"/>
  <c r="Y66" i="41" s="1"/>
  <c r="P35" i="41"/>
  <c r="Q35" i="41" s="1"/>
  <c r="R35" i="41" s="1"/>
  <c r="B35" i="41"/>
  <c r="B37" i="41"/>
  <c r="B33" i="41"/>
  <c r="F87" i="41" s="1"/>
  <c r="Q16" i="41"/>
  <c r="R16" i="41" s="1"/>
  <c r="T16" i="41"/>
  <c r="B92" i="41"/>
  <c r="F55" i="41"/>
  <c r="I89" i="41" s="1"/>
  <c r="F36" i="41"/>
  <c r="F91" i="41" s="1"/>
  <c r="F26" i="41"/>
  <c r="E88" i="41" s="1"/>
  <c r="F21" i="41"/>
  <c r="F13" i="41"/>
  <c r="F12" i="41"/>
  <c r="C88" i="41" s="1"/>
  <c r="T85" i="41" s="1"/>
  <c r="B27" i="41"/>
  <c r="B29" i="41"/>
  <c r="B31" i="41"/>
  <c r="B28" i="41"/>
  <c r="B34" i="41"/>
  <c r="T31" i="41"/>
  <c r="T29" i="41"/>
  <c r="B26" i="41"/>
  <c r="P57" i="41"/>
  <c r="P41" i="41"/>
  <c r="U67" i="41"/>
  <c r="F57" i="41"/>
  <c r="I91" i="41" s="1"/>
  <c r="F45" i="41"/>
  <c r="G93" i="41" s="1"/>
  <c r="F43" i="41"/>
  <c r="G91" i="41" s="1"/>
  <c r="B38" i="41"/>
  <c r="F30" i="41"/>
  <c r="E92" i="41" s="1"/>
  <c r="F28" i="41"/>
  <c r="E90" i="41" s="1"/>
  <c r="F14" i="41"/>
  <c r="F35" i="41"/>
  <c r="F90" i="41" s="1"/>
  <c r="F37" i="41"/>
  <c r="F92" i="41" s="1"/>
  <c r="F20" i="41"/>
  <c r="F48" i="41"/>
  <c r="H89" i="41" s="1"/>
  <c r="J89" i="41" s="1"/>
  <c r="F50" i="41"/>
  <c r="H91" i="41" s="1"/>
  <c r="J91" i="41" s="1"/>
  <c r="F52" i="41"/>
  <c r="H93" i="41" s="1"/>
  <c r="J93" i="41" s="1"/>
  <c r="F56" i="41"/>
  <c r="I90" i="41" s="1"/>
  <c r="F22" i="41"/>
  <c r="F24" i="41"/>
  <c r="F19" i="41"/>
  <c r="D88" i="41" s="1"/>
  <c r="V85" i="41" s="1"/>
  <c r="F27" i="41"/>
  <c r="E89" i="41" s="1"/>
  <c r="F29" i="41"/>
  <c r="E91" i="41" s="1"/>
  <c r="F31" i="41"/>
  <c r="E93" i="41" s="1"/>
  <c r="F40" i="41"/>
  <c r="G88" i="41" s="1"/>
  <c r="B93" i="41"/>
  <c r="F16" i="41"/>
  <c r="P43" i="41"/>
  <c r="B36" i="41"/>
  <c r="F17" i="41"/>
  <c r="Q14" i="41"/>
  <c r="R14" i="41" s="1"/>
  <c r="T14" i="41"/>
  <c r="F58" i="41"/>
  <c r="I92" i="41" s="1"/>
  <c r="F47" i="41"/>
  <c r="H88" i="41" s="1"/>
  <c r="J88" i="41" s="1"/>
  <c r="F44" i="41"/>
  <c r="G92" i="41" s="1"/>
  <c r="F42" i="41"/>
  <c r="G90" i="41" s="1"/>
  <c r="F23" i="41"/>
  <c r="D92" i="41"/>
  <c r="V89" i="41" s="1"/>
  <c r="H87" i="41"/>
  <c r="J87" i="41" s="1"/>
  <c r="P45" i="41"/>
  <c r="D90" i="41"/>
  <c r="V87" i="41" s="1"/>
  <c r="B88" i="41"/>
  <c r="B30" i="41"/>
  <c r="L56" i="41"/>
  <c r="L50" i="41"/>
  <c r="O44" i="41"/>
  <c r="O42" i="41"/>
  <c r="I27" i="41"/>
  <c r="E64" i="41"/>
  <c r="O58" i="41"/>
  <c r="I56" i="41"/>
  <c r="I52" i="41"/>
  <c r="I50" i="41"/>
  <c r="I48" i="41"/>
  <c r="O47" i="41"/>
  <c r="L44" i="41"/>
  <c r="L42" i="41"/>
  <c r="O38" i="41"/>
  <c r="O36" i="41"/>
  <c r="O34" i="41"/>
  <c r="L26" i="41"/>
  <c r="L52" i="41"/>
  <c r="L58" i="41"/>
  <c r="O55" i="41"/>
  <c r="L47" i="41"/>
  <c r="I44" i="41"/>
  <c r="I42" i="41"/>
  <c r="L38" i="41"/>
  <c r="L36" i="41"/>
  <c r="L34" i="41"/>
  <c r="O30" i="41"/>
  <c r="O28" i="41"/>
  <c r="I26" i="41"/>
  <c r="I59" i="41"/>
  <c r="P59" i="41" s="1"/>
  <c r="L48" i="41"/>
  <c r="I40" i="41"/>
  <c r="P40" i="41" s="1"/>
  <c r="I31" i="41"/>
  <c r="I29" i="41"/>
  <c r="O26" i="41"/>
  <c r="I58" i="41"/>
  <c r="L55" i="41"/>
  <c r="O51" i="41"/>
  <c r="P51" i="41" s="1"/>
  <c r="O49" i="41"/>
  <c r="P49" i="41" s="1"/>
  <c r="I47" i="41"/>
  <c r="I38" i="41"/>
  <c r="I36" i="41"/>
  <c r="I34" i="41"/>
  <c r="O33" i="41"/>
  <c r="P33" i="41" s="1"/>
  <c r="L30" i="41"/>
  <c r="L28" i="40"/>
  <c r="L30" i="40"/>
  <c r="O33" i="40"/>
  <c r="I34" i="40"/>
  <c r="I36" i="40"/>
  <c r="I38" i="40"/>
  <c r="L47" i="40"/>
  <c r="O55" i="40"/>
  <c r="L58" i="40"/>
  <c r="I26" i="40"/>
  <c r="O28" i="40"/>
  <c r="O30" i="40"/>
  <c r="L34" i="40"/>
  <c r="L36" i="40"/>
  <c r="L38" i="40"/>
  <c r="I42" i="40"/>
  <c r="I44" i="40"/>
  <c r="O47" i="40"/>
  <c r="I48" i="40"/>
  <c r="I50" i="40"/>
  <c r="I52" i="40"/>
  <c r="I56" i="40"/>
  <c r="O58" i="40"/>
  <c r="L26" i="40"/>
  <c r="O34" i="40"/>
  <c r="O36" i="40"/>
  <c r="O38" i="40"/>
  <c r="L42" i="40"/>
  <c r="L44" i="40"/>
  <c r="L48" i="40"/>
  <c r="L50" i="40"/>
  <c r="L52" i="40"/>
  <c r="L56" i="40"/>
  <c r="I59" i="40"/>
  <c r="O26" i="40"/>
  <c r="I27" i="40"/>
  <c r="I29" i="40"/>
  <c r="I31" i="40"/>
  <c r="I40" i="40"/>
  <c r="O42" i="40"/>
  <c r="O44" i="40"/>
  <c r="O48" i="40"/>
  <c r="O50" i="40"/>
  <c r="O52" i="40"/>
  <c r="O56" i="40"/>
  <c r="L59" i="40"/>
  <c r="I28" i="40"/>
  <c r="L55" i="40"/>
  <c r="I58" i="40"/>
  <c r="L27" i="40"/>
  <c r="L29" i="40"/>
  <c r="L31" i="40"/>
  <c r="I35" i="40"/>
  <c r="I37" i="40"/>
  <c r="L40" i="40"/>
  <c r="I54" i="40"/>
  <c r="I57" i="40"/>
  <c r="O59" i="40"/>
  <c r="I47" i="40"/>
  <c r="O51" i="40"/>
  <c r="O27" i="40"/>
  <c r="O29" i="40"/>
  <c r="O31" i="40"/>
  <c r="L35" i="40"/>
  <c r="L37" i="40"/>
  <c r="O40" i="40"/>
  <c r="I41" i="40"/>
  <c r="I43" i="40"/>
  <c r="I45" i="40"/>
  <c r="I49" i="40"/>
  <c r="I51" i="40"/>
  <c r="P51" i="40" s="1"/>
  <c r="L54" i="40"/>
  <c r="L57" i="40"/>
  <c r="L33" i="40"/>
  <c r="O41" i="40"/>
  <c r="O49" i="40"/>
  <c r="I33" i="40"/>
  <c r="O35" i="40"/>
  <c r="O37" i="40"/>
  <c r="L41" i="40"/>
  <c r="L43" i="40"/>
  <c r="O45" i="40"/>
  <c r="L49" i="40"/>
  <c r="L51" i="40"/>
  <c r="O54" i="40"/>
  <c r="I55" i="40"/>
  <c r="O57" i="40"/>
  <c r="I30" i="40"/>
  <c r="O43" i="40"/>
  <c r="B38" i="40"/>
  <c r="B36" i="40"/>
  <c r="B34" i="40"/>
  <c r="B33" i="40"/>
  <c r="T24" i="40"/>
  <c r="E65" i="40"/>
  <c r="T16" i="40"/>
  <c r="T14" i="40"/>
  <c r="D92" i="40"/>
  <c r="V89" i="40" s="1"/>
  <c r="E64" i="40"/>
  <c r="B37" i="40"/>
  <c r="X70" i="39"/>
  <c r="Q51" i="39"/>
  <c r="R51" i="39" s="1"/>
  <c r="T51" i="39"/>
  <c r="F51" i="39"/>
  <c r="H92" i="39" s="1"/>
  <c r="J92" i="39" s="1"/>
  <c r="Q43" i="39"/>
  <c r="R43" i="39" s="1"/>
  <c r="W69" i="39"/>
  <c r="T43" i="39"/>
  <c r="F42" i="39"/>
  <c r="G90" i="39" s="1"/>
  <c r="T35" i="39"/>
  <c r="V68" i="39"/>
  <c r="Q35" i="39"/>
  <c r="R35" i="39" s="1"/>
  <c r="F31" i="39"/>
  <c r="E93" i="39" s="1"/>
  <c r="F30" i="39"/>
  <c r="E92" i="39" s="1"/>
  <c r="F54" i="39"/>
  <c r="I88" i="39" s="1"/>
  <c r="W70" i="39"/>
  <c r="Q44" i="39"/>
  <c r="R44" i="39" s="1"/>
  <c r="T44" i="39"/>
  <c r="F40" i="39"/>
  <c r="G88" i="39" s="1"/>
  <c r="T49" i="39"/>
  <c r="Q49" i="39"/>
  <c r="R49" i="39" s="1"/>
  <c r="X68" i="39"/>
  <c r="Q40" i="39"/>
  <c r="R40" i="39" s="1"/>
  <c r="W66" i="39"/>
  <c r="F57" i="39"/>
  <c r="I91" i="39" s="1"/>
  <c r="Q50" i="39"/>
  <c r="R50" i="39" s="1"/>
  <c r="T50" i="39"/>
  <c r="X69" i="39"/>
  <c r="F49" i="39"/>
  <c r="H90" i="39" s="1"/>
  <c r="J90" i="39" s="1"/>
  <c r="F44" i="39"/>
  <c r="G92" i="39" s="1"/>
  <c r="W67" i="39"/>
  <c r="Q41" i="39"/>
  <c r="R41" i="39" s="1"/>
  <c r="T41" i="39"/>
  <c r="V67" i="39"/>
  <c r="Q34" i="39"/>
  <c r="R34" i="39" s="1"/>
  <c r="T34" i="39"/>
  <c r="F24" i="39"/>
  <c r="F17" i="39"/>
  <c r="F14" i="39"/>
  <c r="V66" i="39"/>
  <c r="Q33" i="39"/>
  <c r="R33" i="39" s="1"/>
  <c r="Q59" i="39"/>
  <c r="R59" i="39" s="1"/>
  <c r="Y71" i="39"/>
  <c r="T59" i="39"/>
  <c r="F56" i="39"/>
  <c r="I90" i="39" s="1"/>
  <c r="F35" i="39"/>
  <c r="F90" i="39" s="1"/>
  <c r="B88" i="39"/>
  <c r="B93" i="39"/>
  <c r="F29" i="39"/>
  <c r="E91" i="39" s="1"/>
  <c r="F48" i="39"/>
  <c r="H89" i="39" s="1"/>
  <c r="J89" i="39" s="1"/>
  <c r="B92" i="39"/>
  <c r="F12" i="39"/>
  <c r="C88" i="39" s="1"/>
  <c r="T85" i="39" s="1"/>
  <c r="F15" i="39"/>
  <c r="F22" i="39"/>
  <c r="F36" i="39"/>
  <c r="F91" i="39" s="1"/>
  <c r="F43" i="39"/>
  <c r="G91" i="39" s="1"/>
  <c r="F50" i="39"/>
  <c r="H91" i="39" s="1"/>
  <c r="J91" i="39" s="1"/>
  <c r="F58" i="39"/>
  <c r="I92" i="39" s="1"/>
  <c r="B91" i="39"/>
  <c r="F13" i="39"/>
  <c r="F20" i="39"/>
  <c r="F26" i="39"/>
  <c r="E88" i="39" s="1"/>
  <c r="F34" i="39"/>
  <c r="F89" i="39" s="1"/>
  <c r="F41" i="39"/>
  <c r="G89" i="39" s="1"/>
  <c r="F55" i="39"/>
  <c r="I89" i="39" s="1"/>
  <c r="F59" i="39"/>
  <c r="I93" i="39" s="1"/>
  <c r="B90" i="39"/>
  <c r="B89" i="39"/>
  <c r="Q58" i="39"/>
  <c r="R58" i="39" s="1"/>
  <c r="Y70" i="39"/>
  <c r="T58" i="39"/>
  <c r="Q55" i="39"/>
  <c r="R55" i="39" s="1"/>
  <c r="Y67" i="39"/>
  <c r="T55" i="39"/>
  <c r="T42" i="39"/>
  <c r="W68" i="39"/>
  <c r="Q42" i="39"/>
  <c r="R42" i="39" s="1"/>
  <c r="F28" i="39"/>
  <c r="E90" i="39" s="1"/>
  <c r="F27" i="39"/>
  <c r="E89" i="39" s="1"/>
  <c r="F23" i="39"/>
  <c r="F21" i="39"/>
  <c r="F19" i="39"/>
  <c r="D88" i="39" s="1"/>
  <c r="V85" i="39" s="1"/>
  <c r="F16" i="39"/>
  <c r="Q48" i="39"/>
  <c r="R48" i="39" s="1"/>
  <c r="X67" i="39"/>
  <c r="T48" i="39"/>
  <c r="Q54" i="39"/>
  <c r="R54" i="39" s="1"/>
  <c r="Y66" i="39"/>
  <c r="Q36" i="39"/>
  <c r="R36" i="39" s="1"/>
  <c r="V69" i="39"/>
  <c r="T36" i="39"/>
  <c r="Q47" i="39"/>
  <c r="R47" i="39" s="1"/>
  <c r="X66" i="39"/>
  <c r="F45" i="39"/>
  <c r="G93" i="39" s="1"/>
  <c r="V70" i="39"/>
  <c r="Q37" i="39"/>
  <c r="R37" i="39" s="1"/>
  <c r="T37" i="39"/>
  <c r="E87" i="39"/>
  <c r="Q56" i="39"/>
  <c r="R56" i="39" s="1"/>
  <c r="B37" i="39"/>
  <c r="B30" i="39"/>
  <c r="B27" i="39"/>
  <c r="Y69" i="39"/>
  <c r="B34" i="39"/>
  <c r="X71" i="39"/>
  <c r="B33" i="39"/>
  <c r="T29" i="39"/>
  <c r="T22" i="39"/>
  <c r="T15" i="39"/>
  <c r="D92" i="39"/>
  <c r="V89" i="39" s="1"/>
  <c r="W71" i="39"/>
  <c r="B36" i="39"/>
  <c r="B29" i="39"/>
  <c r="C92" i="39"/>
  <c r="T89" i="39" s="1"/>
  <c r="V71" i="39"/>
  <c r="T57" i="39"/>
  <c r="T52" i="39"/>
  <c r="T45" i="39"/>
  <c r="T38" i="39"/>
  <c r="T31" i="39"/>
  <c r="T24" i="39"/>
  <c r="T17" i="39"/>
  <c r="U71" i="39"/>
  <c r="B38" i="39"/>
  <c r="B31" i="39"/>
  <c r="B79" i="26"/>
  <c r="K73" i="26" s="1"/>
  <c r="B79" i="37"/>
  <c r="K73" i="37" s="1"/>
  <c r="B79" i="36"/>
  <c r="K73" i="36" s="1"/>
  <c r="B79" i="30"/>
  <c r="K73" i="30" s="1"/>
  <c r="B79" i="24"/>
  <c r="K73" i="24" s="1"/>
  <c r="B79" i="31"/>
  <c r="K73" i="31" s="1"/>
  <c r="B79" i="33"/>
  <c r="K73" i="33" s="1"/>
  <c r="B79" i="28"/>
  <c r="K73" i="28" s="1"/>
  <c r="B79" i="35"/>
  <c r="K73" i="35" s="1"/>
  <c r="Q10" i="12"/>
  <c r="J10" i="12" s="1"/>
  <c r="Q9" i="12"/>
  <c r="J9" i="12" s="1"/>
  <c r="Q11" i="12"/>
  <c r="J11" i="12" s="1"/>
  <c r="Q14" i="12"/>
  <c r="J14" i="12" s="1"/>
  <c r="Q13" i="12"/>
  <c r="J13" i="12" s="1"/>
  <c r="P5" i="12"/>
  <c r="Q67" i="5"/>
  <c r="Q68" i="5"/>
  <c r="Q69" i="5" s="1"/>
  <c r="Q88" i="5" s="1"/>
  <c r="R43" i="5" s="1"/>
  <c r="Q70" i="5"/>
  <c r="B80" i="28"/>
  <c r="J19" i="12"/>
  <c r="J20" i="12" s="1"/>
  <c r="J16" i="12"/>
  <c r="J4" i="12"/>
  <c r="Z30" i="5"/>
  <c r="Z31" i="5" s="1"/>
  <c r="J21" i="12"/>
  <c r="B80" i="26"/>
  <c r="B80" i="24"/>
  <c r="B80" i="36"/>
  <c r="M39" i="12"/>
  <c r="L39" i="12" s="1"/>
  <c r="J3" i="12"/>
  <c r="B80" i="33"/>
  <c r="B80" i="31"/>
  <c r="B80" i="37"/>
  <c r="B80" i="35"/>
  <c r="J17" i="12"/>
  <c r="J18" i="12" s="1"/>
  <c r="J15" i="12"/>
  <c r="B80" i="30"/>
  <c r="P50" i="42" l="1"/>
  <c r="V70" i="41"/>
  <c r="P56" i="43"/>
  <c r="Q56" i="43" s="1"/>
  <c r="R56" i="43" s="1"/>
  <c r="P45" i="42"/>
  <c r="P54" i="42"/>
  <c r="X15" i="5"/>
  <c r="B97" i="40"/>
  <c r="W73" i="39"/>
  <c r="T73" i="40"/>
  <c r="U73" i="40"/>
  <c r="R73" i="40"/>
  <c r="B97" i="41"/>
  <c r="U73" i="41"/>
  <c r="U73" i="42"/>
  <c r="S73" i="42"/>
  <c r="T73" i="41"/>
  <c r="R73" i="42"/>
  <c r="T73" i="42"/>
  <c r="R73" i="41"/>
  <c r="T73" i="43"/>
  <c r="V73" i="39"/>
  <c r="S73" i="43"/>
  <c r="U73" i="43"/>
  <c r="B97" i="43"/>
  <c r="U73" i="39"/>
  <c r="Y73" i="39"/>
  <c r="R73" i="39"/>
  <c r="X73" i="39"/>
  <c r="S73" i="39"/>
  <c r="B97" i="39"/>
  <c r="P58" i="42"/>
  <c r="Q58" i="42" s="1"/>
  <c r="R58" i="42" s="1"/>
  <c r="P59" i="42"/>
  <c r="Y71" i="42" s="1"/>
  <c r="P33" i="43"/>
  <c r="V66" i="43" s="1"/>
  <c r="P51" i="43"/>
  <c r="Q51" i="43" s="1"/>
  <c r="R51" i="43" s="1"/>
  <c r="P35" i="42"/>
  <c r="P55" i="42"/>
  <c r="T59" i="42" s="1"/>
  <c r="P34" i="43"/>
  <c r="V67" i="43" s="1"/>
  <c r="P37" i="43"/>
  <c r="V70" i="43" s="1"/>
  <c r="P52" i="43"/>
  <c r="X71" i="43" s="1"/>
  <c r="P47" i="43"/>
  <c r="X66" i="43" s="1"/>
  <c r="P55" i="43"/>
  <c r="T56" i="43" s="1"/>
  <c r="P35" i="43"/>
  <c r="Q35" i="43" s="1"/>
  <c r="R35" i="43" s="1"/>
  <c r="P57" i="43"/>
  <c r="T57" i="43" s="1"/>
  <c r="Y68" i="43"/>
  <c r="P38" i="43"/>
  <c r="P36" i="43"/>
  <c r="P40" i="43"/>
  <c r="P42" i="43"/>
  <c r="P41" i="43"/>
  <c r="T45" i="43" s="1"/>
  <c r="P43" i="43"/>
  <c r="P48" i="43"/>
  <c r="P50" i="43"/>
  <c r="P59" i="43"/>
  <c r="Q45" i="43"/>
  <c r="R45" i="43" s="1"/>
  <c r="W71" i="43"/>
  <c r="P44" i="43"/>
  <c r="P49" i="43"/>
  <c r="P58" i="43"/>
  <c r="P54" i="43"/>
  <c r="P52" i="41"/>
  <c r="X71" i="41" s="1"/>
  <c r="P47" i="42"/>
  <c r="X66" i="42" s="1"/>
  <c r="P38" i="42"/>
  <c r="Q38" i="42" s="1"/>
  <c r="R38" i="42" s="1"/>
  <c r="Q54" i="41"/>
  <c r="R54" i="41" s="1"/>
  <c r="P50" i="41"/>
  <c r="Q50" i="41" s="1"/>
  <c r="R50" i="41" s="1"/>
  <c r="P56" i="42"/>
  <c r="Y68" i="42" s="1"/>
  <c r="P34" i="42"/>
  <c r="P44" i="41"/>
  <c r="T44" i="41" s="1"/>
  <c r="P52" i="42"/>
  <c r="X71" i="42" s="1"/>
  <c r="P55" i="41"/>
  <c r="T59" i="41" s="1"/>
  <c r="F87" i="42"/>
  <c r="V65" i="42"/>
  <c r="P41" i="42"/>
  <c r="P42" i="42"/>
  <c r="P37" i="42"/>
  <c r="P40" i="42"/>
  <c r="Q35" i="42"/>
  <c r="R35" i="42" s="1"/>
  <c r="V68" i="42"/>
  <c r="Y66" i="42"/>
  <c r="Q54" i="42"/>
  <c r="R54" i="42" s="1"/>
  <c r="P43" i="42"/>
  <c r="P51" i="42"/>
  <c r="P48" i="42"/>
  <c r="P36" i="42"/>
  <c r="X69" i="42"/>
  <c r="Q50" i="42"/>
  <c r="R50" i="42" s="1"/>
  <c r="P57" i="42"/>
  <c r="P49" i="42"/>
  <c r="P44" i="42"/>
  <c r="P33" i="42"/>
  <c r="Q45" i="42"/>
  <c r="R45" i="42" s="1"/>
  <c r="W71" i="42"/>
  <c r="P56" i="40"/>
  <c r="Y68" i="40" s="1"/>
  <c r="V68" i="41"/>
  <c r="P45" i="40"/>
  <c r="W71" i="40" s="1"/>
  <c r="P36" i="41"/>
  <c r="P34" i="41"/>
  <c r="Q34" i="41" s="1"/>
  <c r="R34" i="41" s="1"/>
  <c r="P43" i="40"/>
  <c r="W69" i="40" s="1"/>
  <c r="Q51" i="41"/>
  <c r="R51" i="41" s="1"/>
  <c r="X70" i="41"/>
  <c r="T45" i="41"/>
  <c r="Q45" i="41"/>
  <c r="R45" i="41" s="1"/>
  <c r="W71" i="41"/>
  <c r="W69" i="41"/>
  <c r="T43" i="41"/>
  <c r="Q43" i="41"/>
  <c r="R43" i="41" s="1"/>
  <c r="P58" i="41"/>
  <c r="Q57" i="41"/>
  <c r="R57" i="41" s="1"/>
  <c r="Y69" i="41"/>
  <c r="P48" i="41"/>
  <c r="T51" i="41" s="1"/>
  <c r="Y71" i="41"/>
  <c r="Q59" i="41"/>
  <c r="R59" i="41" s="1"/>
  <c r="Q33" i="41"/>
  <c r="R33" i="41" s="1"/>
  <c r="V66" i="41"/>
  <c r="T41" i="41"/>
  <c r="Q41" i="41"/>
  <c r="R41" i="41" s="1"/>
  <c r="W67" i="41"/>
  <c r="P38" i="41"/>
  <c r="P47" i="41"/>
  <c r="E87" i="41"/>
  <c r="U65" i="41"/>
  <c r="X68" i="41"/>
  <c r="Q49" i="41"/>
  <c r="R49" i="41" s="1"/>
  <c r="Q40" i="41"/>
  <c r="R40" i="41" s="1"/>
  <c r="W66" i="41"/>
  <c r="P42" i="41"/>
  <c r="P56" i="41"/>
  <c r="P55" i="40"/>
  <c r="T55" i="40" s="1"/>
  <c r="P49" i="40"/>
  <c r="X68" i="40" s="1"/>
  <c r="P33" i="40"/>
  <c r="V66" i="40" s="1"/>
  <c r="P35" i="40"/>
  <c r="P52" i="40"/>
  <c r="P36" i="40"/>
  <c r="P50" i="40"/>
  <c r="P34" i="40"/>
  <c r="P40" i="40"/>
  <c r="P41" i="40"/>
  <c r="P47" i="40"/>
  <c r="P48" i="40"/>
  <c r="T51" i="40" s="1"/>
  <c r="P59" i="40"/>
  <c r="X70" i="40"/>
  <c r="Q51" i="40"/>
  <c r="R51" i="40" s="1"/>
  <c r="P37" i="40"/>
  <c r="P57" i="40"/>
  <c r="P58" i="40"/>
  <c r="P44" i="40"/>
  <c r="P38" i="40"/>
  <c r="F87" i="40"/>
  <c r="V65" i="40"/>
  <c r="P54" i="40"/>
  <c r="P42" i="40"/>
  <c r="V65" i="39"/>
  <c r="F87" i="39"/>
  <c r="Q72" i="5"/>
  <c r="Q83" i="5" s="1"/>
  <c r="K72" i="30"/>
  <c r="O72" i="30"/>
  <c r="Q72" i="30"/>
  <c r="P72" i="30"/>
  <c r="M72" i="30"/>
  <c r="B96" i="30"/>
  <c r="L72" i="30"/>
  <c r="N72" i="30"/>
  <c r="P72" i="33"/>
  <c r="K72" i="33"/>
  <c r="O72" i="33"/>
  <c r="B96" i="33"/>
  <c r="L72" i="33"/>
  <c r="N72" i="33"/>
  <c r="M72" i="33"/>
  <c r="Q72" i="33"/>
  <c r="B96" i="35"/>
  <c r="L72" i="35"/>
  <c r="K72" i="35"/>
  <c r="P72" i="35"/>
  <c r="Q72" i="35"/>
  <c r="O72" i="35"/>
  <c r="N72" i="35"/>
  <c r="M72" i="35"/>
  <c r="O72" i="36"/>
  <c r="N72" i="36"/>
  <c r="K72" i="36"/>
  <c r="M72" i="36"/>
  <c r="B96" i="36"/>
  <c r="L72" i="36"/>
  <c r="Q72" i="36"/>
  <c r="P72" i="36"/>
  <c r="P72" i="37"/>
  <c r="L72" i="37"/>
  <c r="O72" i="37"/>
  <c r="N72" i="37"/>
  <c r="M72" i="37"/>
  <c r="B96" i="37"/>
  <c r="Q72" i="37"/>
  <c r="K72" i="37"/>
  <c r="O72" i="24"/>
  <c r="N72" i="24"/>
  <c r="K72" i="24"/>
  <c r="M72" i="24"/>
  <c r="B96" i="24"/>
  <c r="L72" i="24"/>
  <c r="Q72" i="24"/>
  <c r="P72" i="24"/>
  <c r="P72" i="31"/>
  <c r="B96" i="31"/>
  <c r="O72" i="31"/>
  <c r="N72" i="31"/>
  <c r="L72" i="31"/>
  <c r="M72" i="31"/>
  <c r="K72" i="31"/>
  <c r="Q72" i="31"/>
  <c r="N72" i="26"/>
  <c r="M72" i="26"/>
  <c r="Q72" i="26"/>
  <c r="B96" i="26"/>
  <c r="L72" i="26"/>
  <c r="K72" i="26"/>
  <c r="P72" i="26"/>
  <c r="O72" i="26"/>
  <c r="M72" i="28"/>
  <c r="Q72" i="28"/>
  <c r="B96" i="28"/>
  <c r="L72" i="28"/>
  <c r="K72" i="28"/>
  <c r="O72" i="28"/>
  <c r="N72" i="28"/>
  <c r="P72" i="28"/>
  <c r="R28" i="5"/>
  <c r="T33" i="5" s="1"/>
  <c r="Q59" i="42" l="1"/>
  <c r="R59" i="42" s="1"/>
  <c r="V68" i="43"/>
  <c r="T52" i="43"/>
  <c r="Q43" i="40"/>
  <c r="R43" i="40" s="1"/>
  <c r="T55" i="42"/>
  <c r="Q55" i="41"/>
  <c r="R55" i="41" s="1"/>
  <c r="T38" i="42"/>
  <c r="Y67" i="41"/>
  <c r="T36" i="41"/>
  <c r="Q47" i="43"/>
  <c r="R47" i="43" s="1"/>
  <c r="T35" i="42"/>
  <c r="T35" i="43"/>
  <c r="T56" i="42"/>
  <c r="Q57" i="43"/>
  <c r="R57" i="43" s="1"/>
  <c r="T55" i="41"/>
  <c r="Q52" i="42"/>
  <c r="R52" i="42" s="1"/>
  <c r="T55" i="43"/>
  <c r="Q45" i="40"/>
  <c r="R45" i="40" s="1"/>
  <c r="T57" i="41"/>
  <c r="Q47" i="42"/>
  <c r="R47" i="42" s="1"/>
  <c r="Y70" i="42"/>
  <c r="Q55" i="43"/>
  <c r="R55" i="43" s="1"/>
  <c r="Y69" i="43"/>
  <c r="V71" i="42"/>
  <c r="Q52" i="43"/>
  <c r="R52" i="43" s="1"/>
  <c r="X70" i="43"/>
  <c r="T58" i="42"/>
  <c r="Q52" i="41"/>
  <c r="R52" i="41" s="1"/>
  <c r="T34" i="43"/>
  <c r="Q34" i="43"/>
  <c r="R34" i="43" s="1"/>
  <c r="G31" i="5"/>
  <c r="P31" i="5"/>
  <c r="G39" i="5" s="1"/>
  <c r="G40" i="5" s="1"/>
  <c r="S74" i="39"/>
  <c r="B83" i="39" s="1"/>
  <c r="E22" i="12" s="1"/>
  <c r="T35" i="41"/>
  <c r="T37" i="41"/>
  <c r="Q55" i="42"/>
  <c r="R55" i="42" s="1"/>
  <c r="V69" i="41"/>
  <c r="Y67" i="42"/>
  <c r="Q36" i="41"/>
  <c r="R36" i="41" s="1"/>
  <c r="V67" i="41"/>
  <c r="V67" i="42"/>
  <c r="Q37" i="43"/>
  <c r="R37" i="43" s="1"/>
  <c r="Q49" i="40"/>
  <c r="R49" i="40" s="1"/>
  <c r="Q34" i="42"/>
  <c r="R34" i="42" s="1"/>
  <c r="Q33" i="43"/>
  <c r="R33" i="43" s="1"/>
  <c r="T37" i="43"/>
  <c r="X69" i="41"/>
  <c r="T34" i="42"/>
  <c r="Y67" i="43"/>
  <c r="Q44" i="43"/>
  <c r="R44" i="43" s="1"/>
  <c r="W70" i="43"/>
  <c r="T44" i="43"/>
  <c r="Q59" i="43"/>
  <c r="R59" i="43" s="1"/>
  <c r="T59" i="43"/>
  <c r="Y71" i="43"/>
  <c r="Q36" i="43"/>
  <c r="R36" i="43" s="1"/>
  <c r="V69" i="43"/>
  <c r="V73" i="43" s="1"/>
  <c r="T36" i="43"/>
  <c r="Q58" i="43"/>
  <c r="R58" i="43" s="1"/>
  <c r="T58" i="43"/>
  <c r="Y70" i="43"/>
  <c r="Q48" i="43"/>
  <c r="R48" i="43" s="1"/>
  <c r="X67" i="43"/>
  <c r="T48" i="43"/>
  <c r="Q50" i="43"/>
  <c r="R50" i="43" s="1"/>
  <c r="T50" i="43"/>
  <c r="X69" i="43"/>
  <c r="Q43" i="43"/>
  <c r="R43" i="43" s="1"/>
  <c r="T43" i="43"/>
  <c r="W69" i="43"/>
  <c r="Q54" i="43"/>
  <c r="R54" i="43" s="1"/>
  <c r="Y66" i="43"/>
  <c r="Q38" i="43"/>
  <c r="R38" i="43" s="1"/>
  <c r="T38" i="43"/>
  <c r="V71" i="43"/>
  <c r="T49" i="43"/>
  <c r="X68" i="43"/>
  <c r="Q49" i="43"/>
  <c r="R49" i="43" s="1"/>
  <c r="W67" i="43"/>
  <c r="Q41" i="43"/>
  <c r="R41" i="43" s="1"/>
  <c r="T41" i="43"/>
  <c r="T51" i="43"/>
  <c r="T42" i="43"/>
  <c r="W68" i="43"/>
  <c r="Q42" i="43"/>
  <c r="R42" i="43" s="1"/>
  <c r="Q40" i="43"/>
  <c r="R40" i="43" s="1"/>
  <c r="W66" i="43"/>
  <c r="Q56" i="42"/>
  <c r="R56" i="42" s="1"/>
  <c r="Q56" i="40"/>
  <c r="R56" i="40" s="1"/>
  <c r="Q44" i="41"/>
  <c r="R44" i="41" s="1"/>
  <c r="T56" i="40"/>
  <c r="W70" i="41"/>
  <c r="Y67" i="40"/>
  <c r="T48" i="42"/>
  <c r="X67" i="42"/>
  <c r="Q48" i="42"/>
  <c r="R48" i="42" s="1"/>
  <c r="X70" i="42"/>
  <c r="T51" i="42"/>
  <c r="Q51" i="42"/>
  <c r="R51" i="42" s="1"/>
  <c r="T41" i="42"/>
  <c r="Q41" i="42"/>
  <c r="R41" i="42" s="1"/>
  <c r="W67" i="42"/>
  <c r="W69" i="42"/>
  <c r="Q43" i="42"/>
  <c r="R43" i="42" s="1"/>
  <c r="T43" i="42"/>
  <c r="T49" i="42"/>
  <c r="Q49" i="42"/>
  <c r="R49" i="42" s="1"/>
  <c r="X68" i="42"/>
  <c r="T52" i="42"/>
  <c r="Q40" i="42"/>
  <c r="R40" i="42" s="1"/>
  <c r="W66" i="42"/>
  <c r="T44" i="42"/>
  <c r="W70" i="42"/>
  <c r="Q44" i="42"/>
  <c r="R44" i="42" s="1"/>
  <c r="T45" i="42"/>
  <c r="T50" i="42"/>
  <c r="Q42" i="42"/>
  <c r="R42" i="42" s="1"/>
  <c r="W68" i="42"/>
  <c r="T42" i="42"/>
  <c r="Q36" i="42"/>
  <c r="R36" i="42" s="1"/>
  <c r="T36" i="42"/>
  <c r="V69" i="42"/>
  <c r="Q57" i="42"/>
  <c r="R57" i="42" s="1"/>
  <c r="Y69" i="42"/>
  <c r="T57" i="42"/>
  <c r="Q33" i="42"/>
  <c r="R33" i="42" s="1"/>
  <c r="V66" i="42"/>
  <c r="V70" i="42"/>
  <c r="T37" i="42"/>
  <c r="Q37" i="42"/>
  <c r="R37" i="42" s="1"/>
  <c r="T43" i="40"/>
  <c r="Q33" i="40"/>
  <c r="R33" i="40" s="1"/>
  <c r="T52" i="41"/>
  <c r="T34" i="41"/>
  <c r="T49" i="41"/>
  <c r="T50" i="41"/>
  <c r="Q55" i="40"/>
  <c r="R55" i="40" s="1"/>
  <c r="T49" i="40"/>
  <c r="Y70" i="41"/>
  <c r="Q58" i="41"/>
  <c r="R58" i="41" s="1"/>
  <c r="T58" i="41"/>
  <c r="W68" i="41"/>
  <c r="Q42" i="41"/>
  <c r="R42" i="41" s="1"/>
  <c r="T42" i="41"/>
  <c r="V71" i="41"/>
  <c r="Q38" i="41"/>
  <c r="R38" i="41" s="1"/>
  <c r="T38" i="41"/>
  <c r="T48" i="41"/>
  <c r="X67" i="41"/>
  <c r="Q48" i="41"/>
  <c r="R48" i="41" s="1"/>
  <c r="T56" i="41"/>
  <c r="Y68" i="41"/>
  <c r="Q56" i="41"/>
  <c r="R56" i="41" s="1"/>
  <c r="X66" i="41"/>
  <c r="Q47" i="41"/>
  <c r="R47" i="41" s="1"/>
  <c r="Q58" i="40"/>
  <c r="R58" i="40" s="1"/>
  <c r="Y70" i="40"/>
  <c r="T58" i="40"/>
  <c r="Q57" i="40"/>
  <c r="R57" i="40" s="1"/>
  <c r="Y69" i="40"/>
  <c r="T57" i="40"/>
  <c r="T45" i="40"/>
  <c r="X69" i="40"/>
  <c r="Q50" i="40"/>
  <c r="R50" i="40" s="1"/>
  <c r="T50" i="40"/>
  <c r="V71" i="40"/>
  <c r="Q38" i="40"/>
  <c r="R38" i="40" s="1"/>
  <c r="T38" i="40"/>
  <c r="W66" i="40"/>
  <c r="Q40" i="40"/>
  <c r="R40" i="40" s="1"/>
  <c r="Q41" i="40"/>
  <c r="R41" i="40" s="1"/>
  <c r="T41" i="40"/>
  <c r="W67" i="40"/>
  <c r="Q37" i="40"/>
  <c r="R37" i="40" s="1"/>
  <c r="V70" i="40"/>
  <c r="T37" i="40"/>
  <c r="Q54" i="40"/>
  <c r="R54" i="40" s="1"/>
  <c r="Y66" i="40"/>
  <c r="Q34" i="40"/>
  <c r="R34" i="40" s="1"/>
  <c r="T34" i="40"/>
  <c r="V67" i="40"/>
  <c r="X71" i="40"/>
  <c r="Q52" i="40"/>
  <c r="R52" i="40" s="1"/>
  <c r="T52" i="40"/>
  <c r="T59" i="40"/>
  <c r="Y71" i="40"/>
  <c r="Q59" i="40"/>
  <c r="R59" i="40" s="1"/>
  <c r="X66" i="40"/>
  <c r="Q47" i="40"/>
  <c r="R47" i="40" s="1"/>
  <c r="Q35" i="40"/>
  <c r="R35" i="40" s="1"/>
  <c r="T35" i="40"/>
  <c r="V68" i="40"/>
  <c r="W68" i="40"/>
  <c r="T42" i="40"/>
  <c r="Q42" i="40"/>
  <c r="R42" i="40" s="1"/>
  <c r="W70" i="40"/>
  <c r="Q44" i="40"/>
  <c r="R44" i="40" s="1"/>
  <c r="T44" i="40"/>
  <c r="X67" i="40"/>
  <c r="Q48" i="40"/>
  <c r="R48" i="40" s="1"/>
  <c r="T48" i="40"/>
  <c r="Q36" i="40"/>
  <c r="R36" i="40" s="1"/>
  <c r="V69" i="40"/>
  <c r="T36" i="40"/>
  <c r="L73" i="37"/>
  <c r="B82" i="37" s="1"/>
  <c r="B83" i="37" s="1"/>
  <c r="E21" i="12" s="1"/>
  <c r="L73" i="30"/>
  <c r="B82" i="30" s="1"/>
  <c r="B83" i="30" s="1"/>
  <c r="B95" i="30" s="1"/>
  <c r="L73" i="33"/>
  <c r="B82" i="33" s="1"/>
  <c r="B83" i="33" s="1"/>
  <c r="L73" i="28"/>
  <c r="B82" i="28" s="1"/>
  <c r="B83" i="28" s="1"/>
  <c r="L73" i="31"/>
  <c r="B82" i="31" s="1"/>
  <c r="B83" i="31" s="1"/>
  <c r="L73" i="26"/>
  <c r="B82" i="26" s="1"/>
  <c r="L73" i="24"/>
  <c r="B82" i="24" s="1"/>
  <c r="B83" i="24" s="1"/>
  <c r="E3" i="12" s="1"/>
  <c r="L73" i="35"/>
  <c r="B82" i="35" s="1"/>
  <c r="B83" i="35" s="1"/>
  <c r="L73" i="36"/>
  <c r="B82" i="36" s="1"/>
  <c r="B83" i="36" s="1"/>
  <c r="B95" i="36" s="1"/>
  <c r="X73" i="43" l="1"/>
  <c r="V73" i="41"/>
  <c r="W73" i="41"/>
  <c r="W73" i="43"/>
  <c r="Y73" i="42"/>
  <c r="B84" i="39"/>
  <c r="B96" i="39" s="1"/>
  <c r="Y73" i="43"/>
  <c r="X73" i="41"/>
  <c r="X73" i="42"/>
  <c r="Y73" i="41"/>
  <c r="V73" i="42"/>
  <c r="W73" i="42"/>
  <c r="Y73" i="40"/>
  <c r="V73" i="40"/>
  <c r="W73" i="40"/>
  <c r="X73" i="40"/>
  <c r="B95" i="37"/>
  <c r="J87" i="37" s="1"/>
  <c r="E12" i="12"/>
  <c r="E8" i="12"/>
  <c r="E6" i="12" s="1"/>
  <c r="B95" i="31"/>
  <c r="E11" i="12"/>
  <c r="E9" i="12" s="1"/>
  <c r="E7" i="12"/>
  <c r="E5" i="12" s="1"/>
  <c r="B95" i="35"/>
  <c r="E17" i="12"/>
  <c r="E18" i="12" s="1"/>
  <c r="B95" i="28"/>
  <c r="E15" i="12"/>
  <c r="E13" i="12" s="1"/>
  <c r="E16" i="12"/>
  <c r="E14" i="12" s="1"/>
  <c r="B95" i="33"/>
  <c r="E19" i="12"/>
  <c r="E20" i="12" s="1"/>
  <c r="E4" i="12"/>
  <c r="B83" i="26"/>
  <c r="B95" i="26" s="1"/>
  <c r="B95" i="24"/>
  <c r="J92" i="30"/>
  <c r="J88" i="30"/>
  <c r="J90" i="30"/>
  <c r="J91" i="30"/>
  <c r="J87" i="30"/>
  <c r="J89" i="30"/>
  <c r="S74" i="43" l="1"/>
  <c r="B83" i="43" s="1"/>
  <c r="B84" i="43" s="1"/>
  <c r="B96" i="43" s="1"/>
  <c r="K93" i="43" s="1"/>
  <c r="S74" i="41"/>
  <c r="B83" i="41" s="1"/>
  <c r="E24" i="12" s="1"/>
  <c r="S74" i="42"/>
  <c r="B83" i="42" s="1"/>
  <c r="S74" i="40"/>
  <c r="B83" i="40" s="1"/>
  <c r="K90" i="39"/>
  <c r="K91" i="39"/>
  <c r="K88" i="39"/>
  <c r="K89" i="39"/>
  <c r="K92" i="39"/>
  <c r="K93" i="39"/>
  <c r="E10" i="12"/>
  <c r="J90" i="37"/>
  <c r="J89" i="37"/>
  <c r="J88" i="37"/>
  <c r="J92" i="37"/>
  <c r="J91" i="37"/>
  <c r="B97" i="30"/>
  <c r="F8" i="12" s="1"/>
  <c r="F6" i="12" s="1"/>
  <c r="J90" i="24"/>
  <c r="J92" i="24"/>
  <c r="J89" i="24"/>
  <c r="J88" i="24"/>
  <c r="J91" i="24"/>
  <c r="J87" i="24"/>
  <c r="J89" i="35"/>
  <c r="J87" i="35"/>
  <c r="J92" i="35"/>
  <c r="J88" i="35"/>
  <c r="J91" i="35"/>
  <c r="J90" i="35"/>
  <c r="J87" i="28"/>
  <c r="J89" i="28"/>
  <c r="J91" i="28"/>
  <c r="J92" i="28"/>
  <c r="J88" i="28"/>
  <c r="J90" i="28"/>
  <c r="J88" i="36"/>
  <c r="J90" i="36"/>
  <c r="J87" i="36"/>
  <c r="J92" i="36"/>
  <c r="J89" i="36"/>
  <c r="J91" i="36"/>
  <c r="J90" i="26"/>
  <c r="J88" i="26"/>
  <c r="J92" i="26"/>
  <c r="J89" i="26"/>
  <c r="J91" i="26"/>
  <c r="J87" i="26"/>
  <c r="J91" i="33"/>
  <c r="J87" i="33"/>
  <c r="J89" i="33"/>
  <c r="J90" i="33"/>
  <c r="J92" i="33"/>
  <c r="J88" i="33"/>
  <c r="J91" i="31"/>
  <c r="J87" i="31"/>
  <c r="J89" i="31"/>
  <c r="J90" i="31"/>
  <c r="J92" i="31"/>
  <c r="J88" i="31"/>
  <c r="E26" i="12" l="1"/>
  <c r="B84" i="41"/>
  <c r="B96" i="41" s="1"/>
  <c r="K93" i="41" s="1"/>
  <c r="K92" i="43"/>
  <c r="B97" i="36"/>
  <c r="F19" i="12" s="1"/>
  <c r="F20" i="12" s="1"/>
  <c r="B97" i="26"/>
  <c r="F4" i="12" s="1"/>
  <c r="B98" i="39"/>
  <c r="F22" i="12" s="1"/>
  <c r="K91" i="43"/>
  <c r="K88" i="43"/>
  <c r="K89" i="43"/>
  <c r="B84" i="40"/>
  <c r="B96" i="40" s="1"/>
  <c r="K90" i="40" s="1"/>
  <c r="E23" i="12"/>
  <c r="B84" i="42"/>
  <c r="B96" i="42" s="1"/>
  <c r="E25" i="12"/>
  <c r="K90" i="43"/>
  <c r="B97" i="37"/>
  <c r="F21" i="12" s="1"/>
  <c r="F12" i="12"/>
  <c r="B97" i="28"/>
  <c r="F15" i="12" s="1"/>
  <c r="F13" i="12" s="1"/>
  <c r="B97" i="35"/>
  <c r="F17" i="12" s="1"/>
  <c r="F18" i="12" s="1"/>
  <c r="B97" i="33"/>
  <c r="F16" i="12" s="1"/>
  <c r="F14" i="12" s="1"/>
  <c r="B97" i="24"/>
  <c r="F3" i="12" s="1"/>
  <c r="B97" i="31"/>
  <c r="K88" i="41" l="1"/>
  <c r="K90" i="41"/>
  <c r="K92" i="41"/>
  <c r="K91" i="41"/>
  <c r="K89" i="41"/>
  <c r="R15" i="5"/>
  <c r="G38" i="5" s="1"/>
  <c r="K89" i="40"/>
  <c r="K93" i="40"/>
  <c r="K91" i="40"/>
  <c r="B98" i="43"/>
  <c r="F26" i="12" s="1"/>
  <c r="K91" i="42"/>
  <c r="K92" i="42"/>
  <c r="K89" i="42"/>
  <c r="K88" i="40"/>
  <c r="K88" i="42"/>
  <c r="K93" i="42"/>
  <c r="K92" i="40"/>
  <c r="K90" i="42"/>
  <c r="F10" i="12"/>
  <c r="F11" i="12"/>
  <c r="F9" i="12" s="1"/>
  <c r="F7" i="12"/>
  <c r="F5" i="12" s="1"/>
  <c r="B98" i="41" l="1"/>
  <c r="F24" i="12" s="1"/>
  <c r="B98" i="40"/>
  <c r="F23" i="12" s="1"/>
  <c r="B98" i="42"/>
  <c r="F25" i="12" s="1"/>
  <c r="S15" i="5" l="1"/>
  <c r="G42" i="5" s="1"/>
  <c r="G44" i="5" s="1"/>
  <c r="G45" i="5" s="1"/>
  <c r="G46" i="5" s="1"/>
  <c r="G25" i="5" l="1"/>
  <c r="Q89" i="5"/>
  <c r="G28" i="5" s="1"/>
  <c r="Z34" i="5"/>
  <c r="Z35" i="5" s="1"/>
  <c r="G26" i="5" l="1"/>
  <c r="G27" i="5"/>
  <c r="R44" i="5"/>
  <c r="R45" i="5" s="1"/>
  <c r="G20" i="5"/>
  <c r="G30" i="5"/>
  <c r="G5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Hailey Meek</author>
  </authors>
  <commentList>
    <comment ref="G33" authorId="0" shapeId="0" xr:uid="{00000000-0006-0000-0100-000001000000}">
      <text>
        <r>
          <rPr>
            <b/>
            <sz val="9"/>
            <color indexed="81"/>
            <rFont val="Tahoma"/>
            <family val="2"/>
          </rPr>
          <t>Hailey Meek:</t>
        </r>
        <r>
          <rPr>
            <sz val="9"/>
            <color indexed="81"/>
            <rFont val="Tahoma"/>
            <family val="2"/>
          </rPr>
          <t xml:space="preserve">
12.5 G/day
47 L/day</t>
        </r>
      </text>
    </comment>
    <comment ref="H33" authorId="0" shapeId="0" xr:uid="{00000000-0006-0000-0100-000002000000}">
      <text>
        <r>
          <rPr>
            <b/>
            <sz val="9"/>
            <color indexed="81"/>
            <rFont val="Tahoma"/>
            <family val="2"/>
          </rPr>
          <t>Hailey Meek:</t>
        </r>
        <r>
          <rPr>
            <sz val="9"/>
            <color indexed="81"/>
            <rFont val="Tahoma"/>
            <family val="2"/>
          </rPr>
          <t xml:space="preserve">
25 G/day
95 L/day</t>
        </r>
      </text>
    </comment>
    <comment ref="I33" authorId="0" shapeId="0" xr:uid="{00000000-0006-0000-0100-000003000000}">
      <text>
        <r>
          <rPr>
            <b/>
            <sz val="9"/>
            <color indexed="81"/>
            <rFont val="Tahoma"/>
            <family val="2"/>
          </rPr>
          <t>Hailey Meek:</t>
        </r>
        <r>
          <rPr>
            <sz val="9"/>
            <color indexed="81"/>
            <rFont val="Tahoma"/>
            <family val="2"/>
          </rPr>
          <t xml:space="preserve">
12.5 G/day
47 L/day</t>
        </r>
      </text>
    </comment>
    <comment ref="J33" authorId="0" shapeId="0" xr:uid="{00000000-0006-0000-0100-000004000000}">
      <text>
        <r>
          <rPr>
            <b/>
            <sz val="9"/>
            <color indexed="81"/>
            <rFont val="Tahoma"/>
            <family val="2"/>
          </rPr>
          <t>Hailey Meek:</t>
        </r>
        <r>
          <rPr>
            <sz val="9"/>
            <color indexed="81"/>
            <rFont val="Tahoma"/>
            <family val="2"/>
          </rPr>
          <t xml:space="preserve">
25 G/day
95 L/day</t>
        </r>
      </text>
    </comment>
    <comment ref="G35" authorId="0" shapeId="0" xr:uid="{00000000-0006-0000-0100-000005000000}">
      <text>
        <r>
          <rPr>
            <b/>
            <sz val="9"/>
            <color indexed="81"/>
            <rFont val="Tahoma"/>
            <family val="2"/>
          </rPr>
          <t>Hailey Meek:</t>
        </r>
        <r>
          <rPr>
            <sz val="9"/>
            <color indexed="81"/>
            <rFont val="Tahoma"/>
            <family val="2"/>
          </rPr>
          <t xml:space="preserve">
45 G/day
170 L/day</t>
        </r>
      </text>
    </comment>
    <comment ref="H35" authorId="0" shapeId="0" xr:uid="{00000000-0006-0000-0100-000006000000}">
      <text>
        <r>
          <rPr>
            <b/>
            <sz val="9"/>
            <color indexed="81"/>
            <rFont val="Tahoma"/>
            <family val="2"/>
          </rPr>
          <t>Hailey Meek:</t>
        </r>
        <r>
          <rPr>
            <sz val="9"/>
            <color indexed="81"/>
            <rFont val="Tahoma"/>
            <family val="2"/>
          </rPr>
          <t xml:space="preserve">
90 G/day
341 L/day</t>
        </r>
      </text>
    </comment>
    <comment ref="I35" authorId="0" shapeId="0" xr:uid="{00000000-0006-0000-0100-000007000000}">
      <text>
        <r>
          <rPr>
            <b/>
            <sz val="9"/>
            <color indexed="81"/>
            <rFont val="Tahoma"/>
            <family val="2"/>
          </rPr>
          <t>Hailey Meek:</t>
        </r>
        <r>
          <rPr>
            <sz val="9"/>
            <color indexed="81"/>
            <rFont val="Tahoma"/>
            <family val="2"/>
          </rPr>
          <t xml:space="preserve">
22.5 G/day
85 L/day</t>
        </r>
      </text>
    </comment>
    <comment ref="J35" authorId="0" shapeId="0" xr:uid="{00000000-0006-0000-0100-000008000000}">
      <text>
        <r>
          <rPr>
            <b/>
            <sz val="9"/>
            <color indexed="81"/>
            <rFont val="Tahoma"/>
            <family val="2"/>
          </rPr>
          <t>Hailey Meek:</t>
        </r>
        <r>
          <rPr>
            <sz val="9"/>
            <color indexed="81"/>
            <rFont val="Tahoma"/>
            <family val="2"/>
          </rPr>
          <t xml:space="preserve">
45 G/day
170 L/day</t>
        </r>
      </text>
    </comment>
    <comment ref="G37" authorId="0" shapeId="0" xr:uid="{00000000-0006-0000-0100-000009000000}">
      <text>
        <r>
          <rPr>
            <b/>
            <sz val="9"/>
            <color indexed="81"/>
            <rFont val="Tahoma"/>
            <family val="2"/>
          </rPr>
          <t>Hailey Meek:</t>
        </r>
        <r>
          <rPr>
            <sz val="9"/>
            <color indexed="81"/>
            <rFont val="Tahoma"/>
            <family val="2"/>
          </rPr>
          <t xml:space="preserve">
30 G/day
114 L/day</t>
        </r>
      </text>
    </comment>
    <comment ref="H37" authorId="0" shapeId="0" xr:uid="{00000000-0006-0000-0100-00000A000000}">
      <text>
        <r>
          <rPr>
            <b/>
            <sz val="9"/>
            <color indexed="81"/>
            <rFont val="Tahoma"/>
            <family val="2"/>
          </rPr>
          <t>Hailey Meek:</t>
        </r>
        <r>
          <rPr>
            <sz val="9"/>
            <color indexed="81"/>
            <rFont val="Tahoma"/>
            <family val="2"/>
          </rPr>
          <t xml:space="preserve">
60 G/day
227 L/day</t>
        </r>
      </text>
    </comment>
    <comment ref="I37" authorId="0" shapeId="0" xr:uid="{00000000-0006-0000-0100-00000B000000}">
      <text>
        <r>
          <rPr>
            <b/>
            <sz val="9"/>
            <color indexed="81"/>
            <rFont val="Tahoma"/>
            <family val="2"/>
          </rPr>
          <t>Hailey Meek:</t>
        </r>
        <r>
          <rPr>
            <sz val="9"/>
            <color indexed="81"/>
            <rFont val="Tahoma"/>
            <family val="2"/>
          </rPr>
          <t xml:space="preserve">
15 G/day
57 L/day</t>
        </r>
      </text>
    </comment>
    <comment ref="J37" authorId="0" shapeId="0" xr:uid="{00000000-0006-0000-0100-00000C000000}">
      <text>
        <r>
          <rPr>
            <b/>
            <sz val="9"/>
            <color indexed="81"/>
            <rFont val="Tahoma"/>
            <family val="2"/>
          </rPr>
          <t>Hailey Meek:</t>
        </r>
        <r>
          <rPr>
            <sz val="9"/>
            <color indexed="81"/>
            <rFont val="Tahoma"/>
            <family val="2"/>
          </rPr>
          <t xml:space="preserve">
30 G/day
114 L/day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tc={AC5B2F9C-3619-4615-800A-57F8E6036FB7}</author>
  </authors>
  <commentList>
    <comment ref="B83" authorId="0" shapeId="0" xr:uid="{AC5B2F9C-3619-4615-800A-57F8E6036FB7}">
      <text>
        <t>[Threaded comment]
Your version of Excel allows you to read this threaded comment; however, any edits to it will get removed if the file is opened in a newer version of Excel. Learn more: https://go.microsoft.com/fwlink/?linkid=870924
Comment:
    @Kirby Jabusch you've got a 'pressure corrected RPM value here calculation baked in to this spreadsheet, however based on how we pulled this data, I believe that we can leave this correction value at '0'</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tc={3C4A2386-0086-41CE-BD6A-0C9D930CB6ED}</author>
    <author>tc={11C2C313-1756-4FAF-8868-B9261253307F}</author>
    <author>tc={98F52DE3-88BF-43E5-A803-FCC93A04A33D}</author>
    <author>tc={AF1FBAA2-DD3A-452E-A2AD-F425044D1605}</author>
  </authors>
  <commentList>
    <comment ref="C1" authorId="0" shapeId="0" xr:uid="{3C4A2386-0086-41CE-BD6A-0C9D930CB6ED}">
      <text>
        <t>[Threaded comment]
Your version of Excel allows you to read this threaded comment; however, any edits to it will get removed if the file is opened in a newer version of Excel. Learn more: https://go.microsoft.com/fwlink/?linkid=870924
Comment:
    @Blair Boone  add tech name and date etc.</t>
      </text>
    </comment>
    <comment ref="B19" authorId="1" shapeId="0" xr:uid="{11C2C313-1756-4FAF-8868-B9261253307F}">
      <text>
        <t>[Threaded comment]
Your version of Excel allows you to read this threaded comment; however, any edits to it will get removed if the file is opened in a newer version of Excel. Learn more: https://go.microsoft.com/fwlink/?linkid=870924
Comment:
    @Alex Armstrong do not change this number. 
Reply:
    @Alex Armstrong come see me before you start just to confirm that we agree on the setup</t>
      </text>
    </comment>
    <comment ref="B33" authorId="2" shapeId="0" xr:uid="{98F52DE3-88BF-43E5-A803-FCC93A04A33D}">
      <text>
        <t xml:space="preserve">[Threaded comment]
Your version of Excel allows you to read this threaded comment; however, any edits to it will get removed if the file is opened in a newer version of Excel. Learn more: https://go.microsoft.com/fwlink/?linkid=870924
Comment:
    @Alex Armstrong @Blair Boone after a pump rebuild we can check rates and if we are still seeing inconsistincies, we can choose to run test values at 600 rpm to allow us to compare directly against the fusion2 pump. this could make it easier for us to troubleshoot.  </t>
      </text>
    </comment>
    <comment ref="B84" authorId="3" shapeId="0" xr:uid="{AF1FBAA2-DD3A-452E-A2AD-F425044D1605}">
      <text>
        <t>[Threaded comment]
Your version of Excel allows you to read this threaded comment; however, any edits to it will get removed if the file is opened in a newer version of Excel. Learn more: https://go.microsoft.com/fwlink/?linkid=870924
Comment:
    @Kirby Jabusch you've got a 'pressure corrected RPM value here calculation baked in to this spreadsheet, however based on how we pulled this data, I believe that we can leave this correction value at '0'</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tc={0ABBCDE4-14EE-4D6A-AE56-4BB3CBA20D12}</author>
    <author>tc={47D70B05-B982-492D-B93E-49A6F9797C35}</author>
    <author>tc={F5F7820B-8D2D-4EC4-8217-3B23C3818EAE}</author>
    <author>tc={A4FF2EC7-B46F-4406-864F-FD91EC9E8651}</author>
  </authors>
  <commentList>
    <comment ref="C1" authorId="0" shapeId="0" xr:uid="{0ABBCDE4-14EE-4D6A-AE56-4BB3CBA20D12}">
      <text>
        <t>[Threaded comment]
Your version of Excel allows you to read this threaded comment; however, any edits to it will get removed if the file is opened in a newer version of Excel. Learn more: https://go.microsoft.com/fwlink/?linkid=870924
Comment:
    @Blair Boone  add tech name and date etc.</t>
      </text>
    </comment>
    <comment ref="B19" authorId="1" shapeId="0" xr:uid="{47D70B05-B982-492D-B93E-49A6F9797C35}">
      <text>
        <t>[Threaded comment]
Your version of Excel allows you to read this threaded comment; however, any edits to it will get removed if the file is opened in a newer version of Excel. Learn more: https://go.microsoft.com/fwlink/?linkid=870924
Comment:
    @Alex Armstrong do not change this number. 
Reply:
    @Alex Armstrong come see me before you start just to confirm that we agree on the setup</t>
      </text>
    </comment>
    <comment ref="B33" authorId="2" shapeId="0" xr:uid="{F5F7820B-8D2D-4EC4-8217-3B23C3818EAE}">
      <text>
        <t xml:space="preserve">[Threaded comment]
Your version of Excel allows you to read this threaded comment; however, any edits to it will get removed if the file is opened in a newer version of Excel. Learn more: https://go.microsoft.com/fwlink/?linkid=870924
Comment:
    @Alex Armstrong @Blair Boone after a pump rebuild we can check rates and if we are still seeing inconsistincies, we can choose to run test values at 600 rpm to allow us to compare directly against the fusion2 pump. this could make it easier for us to troubleshoot.  </t>
      </text>
    </comment>
    <comment ref="B84" authorId="3" shapeId="0" xr:uid="{A4FF2EC7-B46F-4406-864F-FD91EC9E8651}">
      <text>
        <t>[Threaded comment]
Your version of Excel allows you to read this threaded comment; however, any edits to it will get removed if the file is opened in a newer version of Excel. Learn more: https://go.microsoft.com/fwlink/?linkid=870924
Comment:
    @Kirby Jabusch you've got a 'pressure corrected RPM value here calculation baked in to this spreadsheet, however based on how we pulled this data, I believe that we can leave this correction value at '0'</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tc={BE40ECF5-7A55-44E6-931D-5A9997C9780F}</author>
    <author>tc={FA90FADC-E796-4E58-BA48-2D6C30E08355}</author>
    <author>tc={5266800A-29F5-473E-BFCF-DD0EB78CAA91}</author>
    <author>tc={F4E3CD4D-1FD9-46C9-B1F4-A4F63042F46A}</author>
  </authors>
  <commentList>
    <comment ref="C1" authorId="0" shapeId="0" xr:uid="{BE40ECF5-7A55-44E6-931D-5A9997C9780F}">
      <text>
        <t>[Threaded comment]
Your version of Excel allows you to read this threaded comment; however, any edits to it will get removed if the file is opened in a newer version of Excel. Learn more: https://go.microsoft.com/fwlink/?linkid=870924
Comment:
    @Blair Boone  add tech name and date etc.</t>
      </text>
    </comment>
    <comment ref="B19" authorId="1" shapeId="0" xr:uid="{FA90FADC-E796-4E58-BA48-2D6C30E08355}">
      <text>
        <t>[Threaded comment]
Your version of Excel allows you to read this threaded comment; however, any edits to it will get removed if the file is opened in a newer version of Excel. Learn more: https://go.microsoft.com/fwlink/?linkid=870924
Comment:
    @Alex Armstrong do not change this number. 
Reply:
    @Alex Armstrong come see me before you start just to confirm that we agree on the setup</t>
      </text>
    </comment>
    <comment ref="B33" authorId="2" shapeId="0" xr:uid="{5266800A-29F5-473E-BFCF-DD0EB78CAA91}">
      <text>
        <t xml:space="preserve">[Threaded comment]
Your version of Excel allows you to read this threaded comment; however, any edits to it will get removed if the file is opened in a newer version of Excel. Learn more: https://go.microsoft.com/fwlink/?linkid=870924
Comment:
    @Alex Armstrong @Blair Boone after a pump rebuild we can check rates and if we are still seeing inconsistincies, we can choose to run test values at 600 rpm to allow us to compare directly against the fusion2 pump. this could make it easier for us to troubleshoot.  </t>
      </text>
    </comment>
    <comment ref="B84" authorId="3" shapeId="0" xr:uid="{F4E3CD4D-1FD9-46C9-B1F4-A4F63042F46A}">
      <text>
        <t>[Threaded comment]
Your version of Excel allows you to read this threaded comment; however, any edits to it will get removed if the file is opened in a newer version of Excel. Learn more: https://go.microsoft.com/fwlink/?linkid=870924
Comment:
    @Kirby Jabusch you've got a 'pressure corrected RPM value here calculation baked in to this spreadsheet, however based on how we pulled this data, I believe that we can leave this correction value at '0'</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tc={296BFFAD-1017-4FAF-B8F8-D2669E0F49D7}</author>
    <author>tc={3A42C12F-BBF1-4977-AF13-4438C353D65C}</author>
    <author>tc={A7CE1B54-F312-4AA6-B172-705A1C03C7BD}</author>
    <author>tc={5C1994D9-3D92-44AC-93F4-EA0958F9ABE1}</author>
  </authors>
  <commentList>
    <comment ref="C1" authorId="0" shapeId="0" xr:uid="{296BFFAD-1017-4FAF-B8F8-D2669E0F49D7}">
      <text>
        <t>[Threaded comment]
Your version of Excel allows you to read this threaded comment; however, any edits to it will get removed if the file is opened in a newer version of Excel. Learn more: https://go.microsoft.com/fwlink/?linkid=870924
Comment:
    @Blair Boone  add tech name and date etc.</t>
      </text>
    </comment>
    <comment ref="B19" authorId="1" shapeId="0" xr:uid="{3A42C12F-BBF1-4977-AF13-4438C353D65C}">
      <text>
        <t>[Threaded comment]
Your version of Excel allows you to read this threaded comment; however, any edits to it will get removed if the file is opened in a newer version of Excel. Learn more: https://go.microsoft.com/fwlink/?linkid=870924
Comment:
    @Alex Armstrong do not change this number. 
Reply:
    @Alex Armstrong come see me before you start just to confirm that we agree on the setup</t>
      </text>
    </comment>
    <comment ref="B33" authorId="2" shapeId="0" xr:uid="{A7CE1B54-F312-4AA6-B172-705A1C03C7BD}">
      <text>
        <t xml:space="preserve">[Threaded comment]
Your version of Excel allows you to read this threaded comment; however, any edits to it will get removed if the file is opened in a newer version of Excel. Learn more: https://go.microsoft.com/fwlink/?linkid=870924
Comment:
    @Alex Armstrong @Blair Boone after a pump rebuild we can check rates and if we are still seeing inconsistincies, we can choose to run test values at 600 rpm to allow us to compare directly against the fusion2 pump. this could make it easier for us to troubleshoot.  </t>
      </text>
    </comment>
    <comment ref="B84" authorId="3" shapeId="0" xr:uid="{5C1994D9-3D92-44AC-93F4-EA0958F9ABE1}">
      <text>
        <t>[Threaded comment]
Your version of Excel allows you to read this threaded comment; however, any edits to it will get removed if the file is opened in a newer version of Excel. Learn more: https://go.microsoft.com/fwlink/?linkid=870924
Comment:
    @Kirby Jabusch you've got a 'pressure corrected RPM value here calculation baked in to this spreadsheet, however based on how we pulled this data, I believe that we can leave this correction value at '0'</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tc={8C2978B8-F512-4F15-A1DA-9529A4E9E01C}</author>
    <author>tc={84B095D3-4CE9-4931-8E31-ADE941DCC9FC}</author>
    <author>tc={EF121FB7-21A3-47B9-9917-A0F719C1696A}</author>
    <author>tc={745ECC7F-DB3C-4DF4-B7CD-8C39F8D419D8}</author>
  </authors>
  <commentList>
    <comment ref="C1" authorId="0" shapeId="0" xr:uid="{8C2978B8-F512-4F15-A1DA-9529A4E9E01C}">
      <text>
        <t>[Threaded comment]
Your version of Excel allows you to read this threaded comment; however, any edits to it will get removed if the file is opened in a newer version of Excel. Learn more: https://go.microsoft.com/fwlink/?linkid=870924
Comment:
    @Blair Boone  add tech name and date etc.</t>
      </text>
    </comment>
    <comment ref="B19" authorId="1" shapeId="0" xr:uid="{84B095D3-4CE9-4931-8E31-ADE941DCC9FC}">
      <text>
        <t>[Threaded comment]
Your version of Excel allows you to read this threaded comment; however, any edits to it will get removed if the file is opened in a newer version of Excel. Learn more: https://go.microsoft.com/fwlink/?linkid=870924
Comment:
    @Alex Armstrong do not change this number. 
Reply:
    @Alex Armstrong come see me before you start just to confirm that we agree on the setup</t>
      </text>
    </comment>
    <comment ref="B33" authorId="2" shapeId="0" xr:uid="{EF121FB7-21A3-47B9-9917-A0F719C1696A}">
      <text>
        <t xml:space="preserve">[Threaded comment]
Your version of Excel allows you to read this threaded comment; however, any edits to it will get removed if the file is opened in a newer version of Excel. Learn more: https://go.microsoft.com/fwlink/?linkid=870924
Comment:
    @Alex Armstrong @Blair Boone after a pump rebuild we can check rates and if we are still seeing inconsistincies, we can choose to run test values at 600 rpm to allow us to compare directly against the fusion2 pump. this could make it easier for us to troubleshoot.  </t>
      </text>
    </comment>
    <comment ref="B84" authorId="3" shapeId="0" xr:uid="{745ECC7F-DB3C-4DF4-B7CD-8C39F8D419D8}">
      <text>
        <t>[Threaded comment]
Your version of Excel allows you to read this threaded comment; however, any edits to it will get removed if the file is opened in a newer version of Excel. Learn more: https://go.microsoft.com/fwlink/?linkid=870924
Comment:
    @Kirby Jabusch you've got a 'pressure corrected RPM value here calculation baked in to this spreadsheet, however based on how we pulled this data, I believe that we can leave this correction value at '0'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tc={17A2133C-D501-4492-9F54-4C05342249A4}</author>
  </authors>
  <commentList>
    <comment ref="B83" authorId="0" shapeId="0" xr:uid="{17A2133C-D501-4492-9F54-4C05342249A4}">
      <text>
        <t>[Threaded comment]
Your version of Excel allows you to read this threaded comment; however, any edits to it will get removed if the file is opened in a newer version of Excel. Learn more: https://go.microsoft.com/fwlink/?linkid=870924
Comment:
    @Kirby Jabusch you've got a 'pressure corrected RPM value here calculation baked in to this spreadsheet, however based on how we pulled this data, I believe that we can leave this correction value at '0'</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tc={EB997F03-26EB-49EC-9FF3-5B9896F5D892}</author>
  </authors>
  <commentList>
    <comment ref="B83" authorId="0" shapeId="0" xr:uid="{EB997F03-26EB-49EC-9FF3-5B9896F5D892}">
      <text>
        <t>[Threaded comment]
Your version of Excel allows you to read this threaded comment; however, any edits to it will get removed if the file is opened in a newer version of Excel. Learn more: https://go.microsoft.com/fwlink/?linkid=870924
Comment:
    @Kirby Jabusch you've got a 'pressure corrected RPM value here calculation baked in to this spreadsheet, however based on how we pulled this data, I believe that we can leave this correction value at '0'</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tc={94504365-9653-4172-AB8F-24FC2B6B5267}</author>
  </authors>
  <commentList>
    <comment ref="B83" authorId="0" shapeId="0" xr:uid="{94504365-9653-4172-AB8F-24FC2B6B5267}">
      <text>
        <t>[Threaded comment]
Your version of Excel allows you to read this threaded comment; however, any edits to it will get removed if the file is opened in a newer version of Excel. Learn more: https://go.microsoft.com/fwlink/?linkid=870924
Comment:
    @Kirby Jabusch you've got a 'pressure corrected RPM value here calculation baked in to this spreadsheet, however based on how we pulled this data, I believe that we can leave this correction value at '0'</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tc={4BD438D7-C780-4A43-8687-5B577556FCC2}</author>
  </authors>
  <commentList>
    <comment ref="B83" authorId="0" shapeId="0" xr:uid="{4BD438D7-C780-4A43-8687-5B577556FCC2}">
      <text>
        <t>[Threaded comment]
Your version of Excel allows you to read this threaded comment; however, any edits to it will get removed if the file is opened in a newer version of Excel. Learn more: https://go.microsoft.com/fwlink/?linkid=870924
Comment:
    @Kirby Jabusch you've got a 'pressure corrected RPM value here calculation baked in to this spreadsheet, however based on how we pulled this data, I believe that we can leave this correction value at '0'</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tc={B13B4054-B929-41C2-A5E9-CC3C9D06B592}</author>
  </authors>
  <commentList>
    <comment ref="B83" authorId="0" shapeId="0" xr:uid="{B13B4054-B929-41C2-A5E9-CC3C9D06B592}">
      <text>
        <t>[Threaded comment]
Your version of Excel allows you to read this threaded comment; however, any edits to it will get removed if the file is opened in a newer version of Excel. Learn more: https://go.microsoft.com/fwlink/?linkid=870924
Comment:
    @Kirby Jabusch you've got a 'pressure corrected RPM value here calculation baked in to this spreadsheet, however based on how we pulled this data, I believe that we can leave this correction value at '0'</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tc={70142F51-C0B2-46F8-BFFE-40C5CD8DBC06}</author>
  </authors>
  <commentList>
    <comment ref="B83" authorId="0" shapeId="0" xr:uid="{70142F51-C0B2-46F8-BFFE-40C5CD8DBC06}">
      <text>
        <t>[Threaded comment]
Your version of Excel allows you to read this threaded comment; however, any edits to it will get removed if the file is opened in a newer version of Excel. Learn more: https://go.microsoft.com/fwlink/?linkid=870924
Comment:
    @Kirby Jabusch you've got a 'pressure corrected RPM value here calculation baked in to this spreadsheet, however based on how we pulled this data, I believe that we can leave this correction value at '0'</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tc={250F3813-0FBC-42C5-86AE-D3E5D5D87521}</author>
  </authors>
  <commentList>
    <comment ref="B83" authorId="0" shapeId="0" xr:uid="{250F3813-0FBC-42C5-86AE-D3E5D5D87521}">
      <text>
        <t>[Threaded comment]
Your version of Excel allows you to read this threaded comment; however, any edits to it will get removed if the file is opened in a newer version of Excel. Learn more: https://go.microsoft.com/fwlink/?linkid=870924
Comment:
    @Kirby Jabusch you've got a 'pressure corrected RPM value here calculation baked in to this spreadsheet, however based on how we pulled this data, I believe that we can leave this correction value at '0'</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tc={737DA1D9-03A5-4C09-958B-FC88E5CF4BC7}</author>
  </authors>
  <commentList>
    <comment ref="B83" authorId="0" shapeId="0" xr:uid="{737DA1D9-03A5-4C09-958B-FC88E5CF4BC7}">
      <text>
        <t>[Threaded comment]
Your version of Excel allows you to read this threaded comment; however, any edits to it will get removed if the file is opened in a newer version of Excel. Learn more: https://go.microsoft.com/fwlink/?linkid=870924
Comment:
    @Kirby Jabusch you've got a 'pressure corrected RPM value here calculation baked in to this spreadsheet, however based on how we pulled this data, I believe that we can leave this correction value at '0'</t>
      </text>
    </comment>
  </commentList>
</comments>
</file>

<file path=xl/sharedStrings.xml><?xml version="1.0" encoding="utf-8"?>
<sst xmlns="http://schemas.openxmlformats.org/spreadsheetml/2006/main" count="1646" uniqueCount="442">
  <si>
    <t xml:space="preserve">
</t>
  </si>
  <si>
    <t>20,30,40,50,55,80,85,90,95,100,110,120,140,145,150,155,160,165,220,230,240,250,260,275,310</t>
  </si>
  <si>
    <t>User Inputs - Edit yellow cells</t>
  </si>
  <si>
    <t>Rev 3.00 - Nov 17-2025</t>
  </si>
  <si>
    <t>Design Targets</t>
  </si>
  <si>
    <t xml:space="preserve">   Location</t>
  </si>
  <si>
    <t>USA-North Dakota-Minot</t>
  </si>
  <si>
    <t>Design Pressure (psi)</t>
  </si>
  <si>
    <t>PSI</t>
  </si>
  <si>
    <t>Daily Volume required</t>
  </si>
  <si>
    <t>US-Quarts/day</t>
  </si>
  <si>
    <t>Q - L/day</t>
  </si>
  <si>
    <t>Select Pump</t>
  </si>
  <si>
    <t>Interp</t>
  </si>
  <si>
    <t>Rated</t>
  </si>
  <si>
    <t>Multipoint (0-15)</t>
  </si>
  <si>
    <t>with Powersavers</t>
  </si>
  <si>
    <t>Pump Selected</t>
  </si>
  <si>
    <t>RPM</t>
  </si>
  <si>
    <t>Watts</t>
  </si>
  <si>
    <t>Panel Voltage</t>
  </si>
  <si>
    <t>Pump Voltage</t>
  </si>
  <si>
    <t>maxP</t>
  </si>
  <si>
    <t>max RPM</t>
  </si>
  <si>
    <t>max Flow</t>
  </si>
  <si>
    <t>Min RPM</t>
  </si>
  <si>
    <t>InSight - Closed Loop</t>
  </si>
  <si>
    <t>No</t>
  </si>
  <si>
    <t>L/day</t>
  </si>
  <si>
    <t>InSight - Connect</t>
  </si>
  <si>
    <t>Cellular</t>
  </si>
  <si>
    <t>Sirius F2-MPPT Charge Controller</t>
  </si>
  <si>
    <t>MPPT</t>
  </si>
  <si>
    <t>Battery Capacity</t>
  </si>
  <si>
    <t>AmpHrs</t>
  </si>
  <si>
    <t>Lowest Battery Temp</t>
  </si>
  <si>
    <t>-30C</t>
  </si>
  <si>
    <t>Aux power Data Table</t>
  </si>
  <si>
    <t>Minimum # of Days Autonomy (7-10 typ.)</t>
  </si>
  <si>
    <t>days</t>
  </si>
  <si>
    <t>Multipoint ( with Powersavers)</t>
  </si>
  <si>
    <t xml:space="preserve">    Min Total Solar Panel Watts Required</t>
  </si>
  <si>
    <t>Insight Closed loop</t>
  </si>
  <si>
    <t>Mean insolation</t>
  </si>
  <si>
    <t>mJ/m2</t>
  </si>
  <si>
    <t xml:space="preserve">   Select Panel Size                                  </t>
  </si>
  <si>
    <t>Watts/Panel</t>
  </si>
  <si>
    <t>Insight Connect</t>
  </si>
  <si>
    <t>PV potential</t>
  </si>
  <si>
    <t>kwhr/kw/mo july</t>
  </si>
  <si>
    <t xml:space="preserve">   Panel  Nominal Voltage</t>
  </si>
  <si>
    <t>Volts</t>
  </si>
  <si>
    <t>Total Aux Power ( Wattts)</t>
  </si>
  <si>
    <t>kw/m2</t>
  </si>
  <si>
    <t>kwhr/kw/day</t>
  </si>
  <si>
    <t xml:space="preserve">  Results</t>
  </si>
  <si>
    <t># Batteries Required</t>
  </si>
  <si>
    <t>Batteries</t>
  </si>
  <si>
    <t>Excess Battery Capacity</t>
  </si>
  <si>
    <t>Final Autonomy</t>
  </si>
  <si>
    <t>Days</t>
  </si>
  <si>
    <t xml:space="preserve">   Number of Panels</t>
  </si>
  <si>
    <t>Panels</t>
  </si>
  <si>
    <t xml:space="preserve">   Solar Panel Operating Voltage (16V or 32V)</t>
  </si>
  <si>
    <t>(VDC)</t>
  </si>
  <si>
    <t>performance factor 0.75</t>
  </si>
  <si>
    <t xml:space="preserve">   Ideal Panel Tilt </t>
  </si>
  <si>
    <t>degrees from Horizontal</t>
  </si>
  <si>
    <t xml:space="preserve">   Excess Panel Capacity</t>
  </si>
  <si>
    <t>Excess Panel Power</t>
  </si>
  <si>
    <t>Max flow in xxx units</t>
  </si>
  <si>
    <t>Termperature Table</t>
  </si>
  <si>
    <t>WATTS HYDRAULIC</t>
  </si>
  <si>
    <t xml:space="preserve">  Warnings</t>
  </si>
  <si>
    <t>Current Factor</t>
  </si>
  <si>
    <t>Multiplexor</t>
  </si>
  <si>
    <t>Current adder</t>
  </si>
  <si>
    <t>-40C</t>
  </si>
  <si>
    <t>-40 degF</t>
  </si>
  <si>
    <t>WATTHRS HYDRAULIC</t>
  </si>
  <si>
    <t>-22 degF</t>
  </si>
  <si>
    <t>Unit Conv</t>
  </si>
  <si>
    <t>Factor</t>
  </si>
  <si>
    <t>Yes</t>
  </si>
  <si>
    <t>-20C</t>
  </si>
  <si>
    <t>-4 degF</t>
  </si>
  <si>
    <t>-10C</t>
  </si>
  <si>
    <t>14 degF</t>
  </si>
  <si>
    <t>WATTHRS ELECTRIC</t>
  </si>
  <si>
    <t>&gt;=0C</t>
  </si>
  <si>
    <t>&gt;= 32 degF</t>
  </si>
  <si>
    <t>EFF</t>
  </si>
  <si>
    <t>US-Gal/day</t>
  </si>
  <si>
    <t>Flow</t>
  </si>
  <si>
    <t>Pump Mode</t>
  </si>
  <si>
    <t>Max Rated Flow Rate per point</t>
  </si>
  <si>
    <t>Check valve pressure</t>
  </si>
  <si>
    <t>psi</t>
  </si>
  <si>
    <t>% of Max Flow</t>
  </si>
  <si>
    <t>Actual inj pressure</t>
  </si>
  <si>
    <t>System Power</t>
  </si>
  <si>
    <t>Draw at Design Pressure</t>
  </si>
  <si>
    <t>Aux Power</t>
  </si>
  <si>
    <t xml:space="preserve">   Power Stored per Day per panel</t>
  </si>
  <si>
    <t>Daily Energy Usage</t>
  </si>
  <si>
    <t>Watt-Hrs</t>
  </si>
  <si>
    <t xml:space="preserve">   Daily power consumption of pump</t>
  </si>
  <si>
    <t>Required Energy for total num days autonomy</t>
  </si>
  <si>
    <t>Battery Capacity for number days autonomy</t>
  </si>
  <si>
    <t>Solar</t>
  </si>
  <si>
    <t xml:space="preserve">     Vertical Panel</t>
  </si>
  <si>
    <t>Hrs/day sunlight - worst case</t>
  </si>
  <si>
    <t>Insolation -- IF CANADA then verticle * Solar data Adjustment</t>
  </si>
  <si>
    <t xml:space="preserve">     At Ideal Panel Tilt angle</t>
  </si>
  <si>
    <t xml:space="preserve">     Total Power Stored per day</t>
  </si>
  <si>
    <t>Solar Panel Data</t>
  </si>
  <si>
    <t>155W Heliene 36P poly</t>
  </si>
  <si>
    <t>Base PWM controller</t>
  </si>
  <si>
    <t>n - efficiency</t>
  </si>
  <si>
    <t>25C</t>
  </si>
  <si>
    <t>Base Sirius MPPT</t>
  </si>
  <si>
    <t>Heliend 36P MAxP Temp coef</t>
  </si>
  <si>
    <t>% Watts/ deg C</t>
  </si>
  <si>
    <t>Heliene 36P volt Temp coef</t>
  </si>
  <si>
    <t>%Volts/degC</t>
  </si>
  <si>
    <t>MPP voltage</t>
  </si>
  <si>
    <t>V</t>
  </si>
  <si>
    <t>Impp</t>
  </si>
  <si>
    <t>A</t>
  </si>
  <si>
    <t>Isc ( short circuit)</t>
  </si>
  <si>
    <t>Std cond</t>
  </si>
  <si>
    <t>C</t>
  </si>
  <si>
    <t>Winter Mid day avghi temp</t>
  </si>
  <si>
    <t>Batt Coef</t>
  </si>
  <si>
    <t>V/degC/cell</t>
  </si>
  <si>
    <t>volts/deg C</t>
  </si>
  <si>
    <t>Adj float Voltage 12V</t>
  </si>
  <si>
    <t>Adj float voltage 24V</t>
  </si>
  <si>
    <t>Adj MPP Panel Voltage</t>
  </si>
  <si>
    <t>Adjusted PWM n</t>
  </si>
  <si>
    <t>Adjusted MPPT n</t>
  </si>
  <si>
    <t>Ratio MPPT-n /PWM n</t>
  </si>
  <si>
    <t>Solar Data Adjustment ( 0.75 to 0.85 factor)</t>
  </si>
  <si>
    <t>Energy Harvedsted PWM</t>
  </si>
  <si>
    <t>Energy Harvested MPPT</t>
  </si>
  <si>
    <t>Additional Data</t>
  </si>
  <si>
    <t xml:space="preserve">   MPPT/PWM Charge Reg Advantage</t>
  </si>
  <si>
    <t>Temperature Factor</t>
  </si>
  <si>
    <t>Performance Factor - System efficency</t>
  </si>
  <si>
    <t xml:space="preserve">   Location Latitude </t>
  </si>
  <si>
    <t>(deg North)</t>
  </si>
  <si>
    <t xml:space="preserve">     Power Stored per Day per panel</t>
  </si>
  <si>
    <t xml:space="preserve">     Daily power consumption of system</t>
  </si>
  <si>
    <t>Data Summary Table</t>
  </si>
  <si>
    <t>Max P</t>
  </si>
  <si>
    <t>MaxFlow</t>
  </si>
  <si>
    <t>CALCULATED Max Flow</t>
  </si>
  <si>
    <t>InSight Compatable</t>
  </si>
  <si>
    <t>Stack compatible</t>
  </si>
  <si>
    <t>max flow</t>
  </si>
  <si>
    <t>linear pump curve pressure/volume curve fit  y = mx +b</t>
  </si>
  <si>
    <t>Set</t>
  </si>
  <si>
    <t>Name-datalist</t>
  </si>
  <si>
    <t>Row</t>
  </si>
  <si>
    <t>rpm</t>
  </si>
  <si>
    <t>Interp Watts</t>
  </si>
  <si>
    <t>Voltage</t>
  </si>
  <si>
    <t>upper bound (L/D)</t>
  </si>
  <si>
    <t>upper bound</t>
  </si>
  <si>
    <t>m</t>
  </si>
  <si>
    <t>b</t>
  </si>
  <si>
    <r>
      <t>COMET</t>
    </r>
    <r>
      <rPr>
        <vertAlign val="superscript"/>
        <sz val="10"/>
        <rFont val="Arial"/>
        <family val="2"/>
      </rPr>
      <t>2</t>
    </r>
    <r>
      <rPr>
        <sz val="10"/>
        <rFont val="Arial"/>
        <family val="2"/>
      </rPr>
      <t xml:space="preserve"> 100, DH, 24 VDC</t>
    </r>
  </si>
  <si>
    <r>
      <t>FUSION</t>
    </r>
    <r>
      <rPr>
        <vertAlign val="superscript"/>
        <sz val="10"/>
        <rFont val="Arial"/>
        <family val="2"/>
      </rPr>
      <t>2</t>
    </r>
    <r>
      <rPr>
        <sz val="10"/>
        <rFont val="Arial"/>
        <family val="2"/>
      </rPr>
      <t xml:space="preserve"> 100, DH, 24 VDC</t>
    </r>
  </si>
  <si>
    <r>
      <t>FUSION</t>
    </r>
    <r>
      <rPr>
        <vertAlign val="superscript"/>
        <sz val="10"/>
        <rFont val="Arial"/>
        <family val="2"/>
      </rPr>
      <t>2</t>
    </r>
    <r>
      <rPr>
        <sz val="10"/>
        <rFont val="Arial"/>
        <family val="2"/>
      </rPr>
      <t xml:space="preserve"> 150, SH, 12 VDC</t>
    </r>
  </si>
  <si>
    <r>
      <t>FUSION</t>
    </r>
    <r>
      <rPr>
        <vertAlign val="superscript"/>
        <sz val="10"/>
        <rFont val="Arial"/>
        <family val="2"/>
      </rPr>
      <t>2</t>
    </r>
    <r>
      <rPr>
        <sz val="10"/>
        <rFont val="Arial"/>
        <family val="2"/>
      </rPr>
      <t xml:space="preserve"> 150, DH, 12 VDC</t>
    </r>
  </si>
  <si>
    <r>
      <t>FUSION</t>
    </r>
    <r>
      <rPr>
        <vertAlign val="superscript"/>
        <sz val="10"/>
        <rFont val="Arial"/>
        <family val="2"/>
      </rPr>
      <t>2</t>
    </r>
    <r>
      <rPr>
        <sz val="10"/>
        <rFont val="Arial"/>
        <family val="2"/>
      </rPr>
      <t xml:space="preserve"> 150, SH, 24 VDC</t>
    </r>
  </si>
  <si>
    <r>
      <t>FUSION</t>
    </r>
    <r>
      <rPr>
        <vertAlign val="superscript"/>
        <sz val="10"/>
        <rFont val="Arial"/>
        <family val="2"/>
      </rPr>
      <t>2</t>
    </r>
    <r>
      <rPr>
        <sz val="10"/>
        <rFont val="Arial"/>
        <family val="2"/>
      </rPr>
      <t xml:space="preserve"> 150, DH, 24 VDC</t>
    </r>
  </si>
  <si>
    <r>
      <t>FUSION</t>
    </r>
    <r>
      <rPr>
        <vertAlign val="superscript"/>
        <sz val="10"/>
        <rFont val="Arial"/>
        <family val="2"/>
      </rPr>
      <t>2</t>
    </r>
    <r>
      <rPr>
        <sz val="10"/>
        <rFont val="Arial"/>
        <family val="2"/>
      </rPr>
      <t xml:space="preserve"> 300, SH, 12 VDC</t>
    </r>
  </si>
  <si>
    <r>
      <t>FUSION</t>
    </r>
    <r>
      <rPr>
        <vertAlign val="superscript"/>
        <sz val="10"/>
        <rFont val="Arial"/>
        <family val="2"/>
      </rPr>
      <t>2</t>
    </r>
    <r>
      <rPr>
        <sz val="10"/>
        <rFont val="Arial"/>
        <family val="2"/>
      </rPr>
      <t xml:space="preserve"> 300, DH, 12 VDC</t>
    </r>
  </si>
  <si>
    <r>
      <t>FUSION</t>
    </r>
    <r>
      <rPr>
        <vertAlign val="superscript"/>
        <sz val="10"/>
        <rFont val="Arial"/>
        <family val="2"/>
      </rPr>
      <t>2</t>
    </r>
    <r>
      <rPr>
        <sz val="10"/>
        <rFont val="Arial"/>
        <family val="2"/>
      </rPr>
      <t xml:space="preserve"> 300, SH, 24 VDC</t>
    </r>
  </si>
  <si>
    <r>
      <t>FUSION</t>
    </r>
    <r>
      <rPr>
        <vertAlign val="superscript"/>
        <sz val="10"/>
        <rFont val="Arial"/>
        <family val="2"/>
      </rPr>
      <t>2</t>
    </r>
    <r>
      <rPr>
        <sz val="10"/>
        <rFont val="Arial"/>
        <family val="2"/>
      </rPr>
      <t xml:space="preserve"> 300, DH, 24 VDC</t>
    </r>
  </si>
  <si>
    <r>
      <t>FUSION</t>
    </r>
    <r>
      <rPr>
        <vertAlign val="superscript"/>
        <sz val="10"/>
        <rFont val="Arial"/>
        <family val="2"/>
      </rPr>
      <t>2</t>
    </r>
    <r>
      <rPr>
        <sz val="10"/>
        <rFont val="Arial"/>
        <family val="2"/>
      </rPr>
      <t xml:space="preserve"> 500, SH, 12 VDC</t>
    </r>
  </si>
  <si>
    <r>
      <t>FUSION</t>
    </r>
    <r>
      <rPr>
        <vertAlign val="superscript"/>
        <sz val="10"/>
        <rFont val="Arial"/>
        <family val="2"/>
      </rPr>
      <t>2</t>
    </r>
    <r>
      <rPr>
        <sz val="10"/>
        <rFont val="Arial"/>
        <family val="2"/>
      </rPr>
      <t xml:space="preserve"> 500, DH, 12 VDC</t>
    </r>
  </si>
  <si>
    <r>
      <t>FUSION</t>
    </r>
    <r>
      <rPr>
        <vertAlign val="superscript"/>
        <sz val="10"/>
        <rFont val="Arial"/>
        <family val="2"/>
      </rPr>
      <t>2</t>
    </r>
    <r>
      <rPr>
        <sz val="10"/>
        <rFont val="Arial"/>
        <family val="2"/>
      </rPr>
      <t xml:space="preserve"> 500, SH, 24 VDC</t>
    </r>
  </si>
  <si>
    <r>
      <t>FUSION</t>
    </r>
    <r>
      <rPr>
        <vertAlign val="superscript"/>
        <sz val="10"/>
        <rFont val="Arial"/>
        <family val="2"/>
      </rPr>
      <t>2</t>
    </r>
    <r>
      <rPr>
        <sz val="10"/>
        <rFont val="Arial"/>
        <family val="2"/>
      </rPr>
      <t xml:space="preserve"> 500, DH, 24 VDC</t>
    </r>
  </si>
  <si>
    <t>COMET2-300, SH, 24 VDC</t>
  </si>
  <si>
    <t>COMET2-300, SH, 12 VDC</t>
  </si>
  <si>
    <t>COMET2-300, DH, 24 VDC</t>
  </si>
  <si>
    <t>COMET2-300, DH, 12 VDC</t>
  </si>
  <si>
    <t>COMET2-500, HP, DH, 24 VDC</t>
  </si>
  <si>
    <t>FUSION3 100, DH, 24 VDC</t>
  </si>
  <si>
    <t>FUSION3 300, SH, 24 VDC</t>
  </si>
  <si>
    <t>FUSION3 300, DH, 24 VDC</t>
  </si>
  <si>
    <t>FUSION3 500, SH, 24 VDC</t>
  </si>
  <si>
    <t>FUSION3 500, DH, 24 VDC</t>
  </si>
  <si>
    <t>FUSION Pump Type</t>
  </si>
  <si>
    <t>SH-24V</t>
  </si>
  <si>
    <t>DH-24V</t>
  </si>
  <si>
    <t>SH-12V</t>
  </si>
  <si>
    <t>DH-12V</t>
  </si>
  <si>
    <t>Q/day</t>
  </si>
  <si>
    <t>FUSION2 150</t>
  </si>
  <si>
    <t>Rate</t>
  </si>
  <si>
    <t>50 Q/day</t>
  </si>
  <si>
    <t>100 Q/day</t>
  </si>
  <si>
    <t>Pressure</t>
  </si>
  <si>
    <t>1500 psi</t>
  </si>
  <si>
    <t>FUSION2 300</t>
  </si>
  <si>
    <t>180 Q/day</t>
  </si>
  <si>
    <t>360 Q/day</t>
  </si>
  <si>
    <t>90 Q/day</t>
  </si>
  <si>
    <t>3000 psi</t>
  </si>
  <si>
    <t>FUSION2 500</t>
  </si>
  <si>
    <t>120 Q/day</t>
  </si>
  <si>
    <t>240 Q/day</t>
  </si>
  <si>
    <t>60 Q/day</t>
  </si>
  <si>
    <t>5000 psi</t>
  </si>
  <si>
    <t>COMET2 100</t>
  </si>
  <si>
    <t>1000 psi</t>
  </si>
  <si>
    <t>FUSION2 100</t>
  </si>
  <si>
    <t>1300 Q/d</t>
  </si>
  <si>
    <t>12V/24V Comet Motor Power</t>
  </si>
  <si>
    <t>24V comets are measured</t>
  </si>
  <si>
    <t xml:space="preserve">12V comet motors are show to be 1.25 more watts due to </t>
  </si>
  <si>
    <t>higher currents, winding, cable, and controller losses.</t>
  </si>
  <si>
    <t>performance factor allows for conversion effiecinecy, cabling, and other losses.</t>
  </si>
  <si>
    <t>for Canadian data</t>
  </si>
  <si>
    <t xml:space="preserve">Performance Factor = </t>
  </si>
  <si>
    <t>http://198.103.48.154/fichier.php/codectec/Fr/2006-046/2006-046_OP-J_411-SOLRES_PV+map.pdf</t>
  </si>
  <si>
    <t>https://glfc.cfsnet.nfis.org/mapserver/pv/municip.php?n=720&amp;NEK=e</t>
  </si>
  <si>
    <t>PV Potential Worst Month kWh/kW/mo</t>
  </si>
  <si>
    <t>PV Potential Best Month  kWh/kW/mo</t>
  </si>
  <si>
    <t>Area</t>
  </si>
  <si>
    <t>Ideal Tilt</t>
  </si>
  <si>
    <t>Avg midday Dec-Jan temp</t>
  </si>
  <si>
    <t>TOWN</t>
  </si>
  <si>
    <t>Verticle</t>
  </si>
  <si>
    <t>Lat + 15deg</t>
  </si>
  <si>
    <t>Lat + 15</t>
  </si>
  <si>
    <t>Latitude</t>
  </si>
  <si>
    <t>Lat+15</t>
  </si>
  <si>
    <t>deg C</t>
  </si>
  <si>
    <t>World map</t>
  </si>
  <si>
    <t>http://worldmap.harvard.edu/maps/oilandgasmap</t>
  </si>
  <si>
    <t>CDN-Athabasca</t>
  </si>
  <si>
    <t>http://solarelectricityhandbook.com/solar-irradiance.html</t>
  </si>
  <si>
    <t>CDN-Bonnyville</t>
  </si>
  <si>
    <t>US solar data</t>
  </si>
  <si>
    <t>in kWhrs/m2/day</t>
  </si>
  <si>
    <t>CDN-Brooks</t>
  </si>
  <si>
    <t>http://rredc.nrel.gov/solar/pubs/redbook/</t>
  </si>
  <si>
    <t>X:\PRODUCTS\SIS\Flow Spec Software\USA Solar Data</t>
  </si>
  <si>
    <t>CDN-Calgary</t>
  </si>
  <si>
    <t>Canada's data</t>
  </si>
  <si>
    <t>kWhrs/kw/month</t>
  </si>
  <si>
    <t>https://fgp-pgf.maps.arcgis.com/apps/webappviewer/index.html?id=c91106a7d8c446a19dd1909fd93645d3</t>
  </si>
  <si>
    <t>CDN-Dawson Creek</t>
  </si>
  <si>
    <t>http://pv.nrcan.gc.ca/index.php?n=720&amp;m=u&amp;lang=e</t>
  </si>
  <si>
    <t>CDN-Drayton Valley</t>
  </si>
  <si>
    <t>https://www.nrcan.gc.ca/energy/energy-sources-distribution/renewables/solar-photovoltaic-energy/solar-resource-data-available-canada/14390</t>
  </si>
  <si>
    <t>CDN-Drumheller</t>
  </si>
  <si>
    <t>CDN-Edmonton</t>
  </si>
  <si>
    <t>MidDay Temps - Weather</t>
  </si>
  <si>
    <t>CDN-Edson</t>
  </si>
  <si>
    <t>https://weatherspark.com/m/2795/1/Average-Weather-in-January-in-Fort-McMurray-Canada</t>
  </si>
  <si>
    <t>CDN-Estevan</t>
  </si>
  <si>
    <t>CDN-Fort McMurray</t>
  </si>
  <si>
    <t>CDN-Ft. Nelson</t>
  </si>
  <si>
    <t>CDN-Grande Praire</t>
  </si>
  <si>
    <t>CDN-High Level</t>
  </si>
  <si>
    <t>CDN-Lloydminster</t>
  </si>
  <si>
    <t>CDN-Medicine Hat</t>
  </si>
  <si>
    <t>CDN-Pink Mountain</t>
  </si>
  <si>
    <t>CDN-Ponoka</t>
  </si>
  <si>
    <t>CDN-Prince George</t>
  </si>
  <si>
    <t>CDN-Red Deer</t>
  </si>
  <si>
    <t>CDN-Rimbey</t>
  </si>
  <si>
    <t>CDN-Slave Lake</t>
  </si>
  <si>
    <t>CDN-Swift Current</t>
  </si>
  <si>
    <t>CDN-Valleyview</t>
  </si>
  <si>
    <t>CDN-Weyburn</t>
  </si>
  <si>
    <t>CDN-Whitecourt</t>
  </si>
  <si>
    <t>USA-Arkansas - Ft Smith</t>
  </si>
  <si>
    <t>USA-California-Bakersfield</t>
  </si>
  <si>
    <t>USA-Colorado-Boulder</t>
  </si>
  <si>
    <t>USA-Louisiana-Shreveport</t>
  </si>
  <si>
    <t>USA-New Mexico-Albuquerque</t>
  </si>
  <si>
    <t>USA-New Mexico-Artesia</t>
  </si>
  <si>
    <t>USA-Oklahoma-OK city</t>
  </si>
  <si>
    <t>USA-Pennsylvania-Williamsport</t>
  </si>
  <si>
    <t>USA-Texas-Amarillo</t>
  </si>
  <si>
    <t>USA-Texas-Corpus Christi</t>
  </si>
  <si>
    <t>USA-Texas--ElPaso</t>
  </si>
  <si>
    <t>USA-Texas--Ft.Worth</t>
  </si>
  <si>
    <t>USA-Texas-Midland</t>
  </si>
  <si>
    <t>USA-Texas-San Antonio</t>
  </si>
  <si>
    <t>USA-Texas--Tyler</t>
  </si>
  <si>
    <t>USA-Wyoming-Rock Springs</t>
  </si>
  <si>
    <t>Argentina-Nequen</t>
  </si>
  <si>
    <t>Argentina-ComodoroRivadavia</t>
  </si>
  <si>
    <t>Argentina-RioGallegos</t>
  </si>
  <si>
    <t>Kuwait</t>
  </si>
  <si>
    <t>Malaysia</t>
  </si>
  <si>
    <t>Malaysia-Miri</t>
  </si>
  <si>
    <t>Pakistan</t>
  </si>
  <si>
    <t>Date</t>
  </si>
  <si>
    <t>Tech: satnam singh</t>
  </si>
  <si>
    <t>100 rpm data corrected july 27</t>
  </si>
  <si>
    <t>glycol COMET2 pump - 24V comet motor</t>
  </si>
  <si>
    <t>RPMs</t>
  </si>
  <si>
    <t>pressure</t>
  </si>
  <si>
    <t># Heads</t>
  </si>
  <si>
    <t>single</t>
  </si>
  <si>
    <t>Piston</t>
  </si>
  <si>
    <t>Quiescent</t>
  </si>
  <si>
    <t>mA</t>
  </si>
  <si>
    <t>min rpm</t>
  </si>
  <si>
    <t>Supply V</t>
  </si>
  <si>
    <t>Display on</t>
  </si>
  <si>
    <t>Do not change</t>
  </si>
  <si>
    <t>Stroke</t>
  </si>
  <si>
    <t>Display off</t>
  </si>
  <si>
    <t>Head</t>
  </si>
  <si>
    <t>standard</t>
  </si>
  <si>
    <t>Display</t>
  </si>
  <si>
    <t>Fixed for F2 controller</t>
  </si>
  <si>
    <t>head config</t>
  </si>
  <si>
    <t>soft seat cartridge, soft seat discharge</t>
  </si>
  <si>
    <t>Maintaining constant RPM</t>
  </si>
  <si>
    <t>Power - ELEC</t>
  </si>
  <si>
    <t>FLOW</t>
  </si>
  <si>
    <t>measured</t>
  </si>
  <si>
    <t>mech work</t>
  </si>
  <si>
    <t>Effieciency</t>
  </si>
  <si>
    <t>average rate</t>
  </si>
  <si>
    <t>mWhr</t>
  </si>
  <si>
    <t>Sample Time(min)</t>
  </si>
  <si>
    <t>Disp off Watts</t>
  </si>
  <si>
    <t>time  sec</t>
  </si>
  <si>
    <t>draw  L</t>
  </si>
  <si>
    <t>Rate  L/day</t>
  </si>
  <si>
    <t>n</t>
  </si>
  <si>
    <t>Pump curve</t>
  </si>
  <si>
    <t>duty cycle</t>
  </si>
  <si>
    <t>L/d</t>
  </si>
  <si>
    <t>Flow Table ( L/day)</t>
  </si>
  <si>
    <t>CF @ 500 psi</t>
  </si>
  <si>
    <t>watts</t>
  </si>
  <si>
    <t>flow</t>
  </si>
  <si>
    <t>Enter Flow</t>
  </si>
  <si>
    <t>Enter pressure</t>
  </si>
  <si>
    <t>max</t>
  </si>
  <si>
    <t>Pcor</t>
  </si>
  <si>
    <t>avg slope of Pump Curve</t>
  </si>
  <si>
    <t>0.11 nom</t>
  </si>
  <si>
    <t>Calc RPM</t>
  </si>
  <si>
    <t>P Corr RPM</t>
  </si>
  <si>
    <t>Interpolation Table</t>
  </si>
  <si>
    <t>Watts Table</t>
  </si>
  <si>
    <t>Interm</t>
  </si>
  <si>
    <t>Enter RPM</t>
  </si>
  <si>
    <t>Enter Pressure</t>
  </si>
  <si>
    <t>Calc Watts</t>
  </si>
  <si>
    <t>Corrected 100 rpm data July 27</t>
  </si>
  <si>
    <t>dual</t>
  </si>
  <si>
    <t>Sample Time (sec)</t>
  </si>
  <si>
    <t>HP Soft Seat w bleed</t>
  </si>
  <si>
    <t>Tech:  Blair Boone</t>
  </si>
  <si>
    <t>FUSION2 300 pump - 24V fusion2 motor</t>
  </si>
  <si>
    <t>Single</t>
  </si>
  <si>
    <t>soft seat, cartridge valve, bleeder head</t>
  </si>
  <si>
    <t>soft seat poppet suction, soft seat discharge</t>
  </si>
  <si>
    <t>Dual</t>
  </si>
  <si>
    <t>glycol f2-500 - 24V fusion2 motor</t>
  </si>
  <si>
    <t>25.0 V</t>
  </si>
  <si>
    <t>high pressure</t>
  </si>
  <si>
    <t>soft seat cartridge</t>
  </si>
  <si>
    <t>glycol COMET_100 pump - 24V comet motor</t>
  </si>
  <si>
    <t>HIGH VOLUME</t>
  </si>
  <si>
    <t>glycol COMET_100 pump - 24V fusion2 motor</t>
  </si>
  <si>
    <t>min</t>
  </si>
  <si>
    <t>Tech: Alex A</t>
  </si>
  <si>
    <t>glycol COMET2 pump - 24V Fusion 3 motor</t>
  </si>
  <si>
    <t>dual head</t>
  </si>
  <si>
    <t>SAMPLE 1</t>
  </si>
  <si>
    <t>SAMPLE 2</t>
  </si>
  <si>
    <t>SAMPLE 3</t>
  </si>
  <si>
    <t>averaged</t>
  </si>
  <si>
    <t>time (Sec)</t>
  </si>
  <si>
    <t>Rate LPD</t>
  </si>
  <si>
    <t>sight glass</t>
  </si>
  <si>
    <t>hawkeye drawdown tube</t>
  </si>
  <si>
    <t>sample duration must be multiple of 60s</t>
  </si>
  <si>
    <t>1 inch drawdown tube</t>
  </si>
  <si>
    <t>2 inch drawdown tube</t>
  </si>
  <si>
    <t>single head</t>
  </si>
  <si>
    <t>max HP</t>
  </si>
  <si>
    <t>int meas of sight glass tube</t>
  </si>
  <si>
    <t>max power draw, compared to C2 at max</t>
  </si>
  <si>
    <t>area</t>
  </si>
  <si>
    <t>in2</t>
  </si>
  <si>
    <t>based on meas of drawdown tube</t>
  </si>
  <si>
    <t>area_nominal</t>
  </si>
  <si>
    <t>based on math used to design the drawdown tube graduation decal</t>
  </si>
  <si>
    <t>difference</t>
  </si>
  <si>
    <t>correction factor. Accounts for measured difference in drawdown tube dia</t>
  </si>
  <si>
    <t xml:space="preserve">\ </t>
  </si>
  <si>
    <t>s</t>
  </si>
  <si>
    <t>FUSION3 100, DUAL HEAD, 24 VDC</t>
  </si>
  <si>
    <t>Pressure (PSI)</t>
  </si>
  <si>
    <t>FUSION3 300, SINGLE HEAD, 24 VDC</t>
  </si>
  <si>
    <t>FUSION3 300, DUAL HEAD, 24 VDC</t>
  </si>
  <si>
    <t>FUSION3 500, SINGLE HEAD, 24 VDC</t>
  </si>
  <si>
    <t>FUSION3 500, DUAL HEAD, 24 VDC</t>
  </si>
  <si>
    <t>Motors</t>
  </si>
  <si>
    <t>SH / DH</t>
  </si>
  <si>
    <t>Type</t>
  </si>
  <si>
    <t>Tests</t>
  </si>
  <si>
    <t>Notes</t>
  </si>
  <si>
    <t>Comet2</t>
  </si>
  <si>
    <t>SH</t>
  </si>
  <si>
    <t>Comet 2 300 SH 12V</t>
  </si>
  <si>
    <t xml:space="preserve">max rate max pressure = 131 watts on 12V. Why is it only 15 watts less than a 24v motor maxed out? </t>
  </si>
  <si>
    <t>Comet 24V SH vs DH have the same max rated flow</t>
  </si>
  <si>
    <t>Fusion2</t>
  </si>
  <si>
    <t>DH</t>
  </si>
  <si>
    <t>Comet 2 300 DH 24V</t>
  </si>
  <si>
    <t>Max rate max pressure = 147 watts on 24V. Why is it 185 watts on 12V?</t>
  </si>
  <si>
    <t>Comet 12V SH vs DH have the same max rated flow</t>
  </si>
  <si>
    <t>Fusion3</t>
  </si>
  <si>
    <t>comet 2 500 DH 24V</t>
  </si>
  <si>
    <t>Comet 2 100 DH 24V</t>
  </si>
  <si>
    <t>0 and 500 pressure, max rate = 10 watts more than expected from graphs</t>
  </si>
  <si>
    <t>F2 100 DH 24V</t>
  </si>
  <si>
    <t>good</t>
  </si>
  <si>
    <t>F2 150 DH 24V</t>
  </si>
  <si>
    <t>no data to compare</t>
  </si>
  <si>
    <t>F2 300 DH 24V</t>
  </si>
  <si>
    <t>F3 500 DH+SH 12+24V</t>
  </si>
  <si>
    <t>F3 300 SH 12+24V</t>
  </si>
  <si>
    <t>max rates flow is off for 12V… F3-300 SH 24V at 0 psi = 360.6 L/D which is good. F3-300 SH 12V at 0psi = 90.2L/D</t>
  </si>
  <si>
    <t>kPa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</si>
</sst>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0"/>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u/>
      <sz val="10"/>
      <color indexed="36"/>
      <name val="Arial"/>
      <family val="2"/>
    </font>
    <font>
      <b/>
      <sz val="10"/>
      <name val="Arial"/>
      <family val="2"/>
    </font>
    <font>
      <sz val="8"/>
      <name val="Arial"/>
      <family val="2"/>
    </font>
    <font>
      <b/>
      <sz val="20"/>
      <name val="Arial"/>
      <family val="2"/>
    </font>
    <font>
      <b/>
      <sz val="16"/>
      <name val="Arial"/>
      <family val="2"/>
    </font>
    <font>
      <sz val="10"/>
      <color rgb="FFFF0000"/>
      <name val="Arial"/>
      <family val="2"/>
    </font>
    <font>
      <sz val="10"/>
      <color rgb="FFFFFF00"/>
      <name val="Arial"/>
      <family val="2"/>
    </font>
    <font>
      <b/>
      <i/>
      <sz val="16"/>
      <color rgb="FFFFFF00"/>
      <name val="Arial"/>
      <family val="2"/>
    </font>
    <font>
      <b/>
      <sz val="14"/>
      <color rgb="FF444444"/>
      <name val="Segoe UI"/>
      <family val="2"/>
    </font>
    <font>
      <sz val="11"/>
      <color rgb="FFFF0000"/>
      <name val="Calibri"/>
      <family val="2"/>
      <scheme val="minor"/>
    </font>
    <font>
      <b/>
      <sz val="11"/>
      <color theme="1"/>
      <name val="Calibri"/>
      <family val="2"/>
      <scheme val="minor"/>
    </font>
    <font>
      <sz val="11"/>
      <color rgb="FF000000"/>
      <name val="Calibri"/>
      <family val="2"/>
    </font>
    <font>
      <b/>
      <sz val="11"/>
      <color rgb="FF000000"/>
      <name val="Calibri"/>
      <family val="2"/>
    </font>
    <font>
      <b/>
      <sz val="9"/>
      <color indexed="81"/>
      <name val="Tahoma"/>
      <family val="2"/>
    </font>
    <font>
      <sz val="9"/>
      <color indexed="81"/>
      <name val="Tahoma"/>
      <family val="2"/>
    </font>
    <font>
      <b/>
      <sz val="16"/>
      <color theme="1"/>
      <name val="Calibri"/>
      <family val="2"/>
      <scheme val="minor"/>
    </font>
    <font>
      <b/>
      <u/>
      <sz val="11"/>
      <color theme="1"/>
      <name val="Calibri"/>
      <family val="2"/>
      <scheme val="minor"/>
    </font>
    <font>
      <u/>
      <sz val="11"/>
      <color theme="1"/>
      <name val="Calibri"/>
      <family val="2"/>
      <scheme val="minor"/>
    </font>
    <font>
      <sz val="11"/>
      <color theme="3" tint="0.39997558519241921"/>
      <name val="Calibri"/>
      <family val="2"/>
      <scheme val="minor"/>
    </font>
    <font>
      <b/>
      <sz val="11"/>
      <color theme="3" tint="0.39997558519241921"/>
      <name val="Calibri"/>
      <family val="2"/>
      <scheme val="minor"/>
    </font>
    <font>
      <vertAlign val="superscript"/>
      <sz val="10"/>
      <name val="Arial"/>
      <family val="2"/>
    </font>
    <font>
      <sz val="11"/>
      <color rgb="FF3F3F76"/>
      <name val="Calibri"/>
      <family val="2"/>
      <scheme val="minor"/>
    </font>
    <font>
      <i/>
      <sz val="11"/>
      <color rgb="FF7F7F7F"/>
      <name val="Calibri"/>
      <family val="2"/>
      <scheme val="minor"/>
    </font>
    <font>
      <sz val="16"/>
      <name val="Arial"/>
      <family val="2"/>
    </font>
    <font>
      <sz val="10"/>
      <color theme="1"/>
      <name val="Arial"/>
      <family val="2"/>
    </font>
    <font>
      <b/>
      <u/>
      <sz val="10"/>
      <name val="Arial"/>
      <family val="2"/>
    </font>
    <font>
      <sz val="11"/>
      <color rgb="FF000000"/>
      <name val="Aptos"/>
      <family val="2"/>
    </font>
    <font>
      <b/>
      <sz val="11"/>
      <color rgb="FF000000"/>
      <name val="Aptos"/>
      <family val="2"/>
    </font>
    <font>
      <i/>
      <sz val="10"/>
      <name val="Arial"/>
      <family val="2"/>
    </font>
  </fonts>
  <fills count="27">
    <fill>
      <patternFill patternType="none"/>
    </fill>
    <fill>
      <patternFill patternType="gray125"/>
    </fill>
    <fill>
      <patternFill patternType="solid">
        <fgColor indexed="13"/>
        <bgColor indexed="64"/>
      </patternFill>
    </fill>
    <fill>
      <patternFill patternType="solid">
        <fgColor indexed="8"/>
        <bgColor indexed="64"/>
      </patternFill>
    </fill>
    <fill>
      <patternFill patternType="solid">
        <fgColor indexed="41"/>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FF00"/>
        <bgColor indexed="64"/>
      </patternFill>
    </fill>
    <fill>
      <patternFill patternType="solid">
        <fgColor rgb="FF00B050"/>
        <bgColor indexed="64"/>
      </patternFill>
    </fill>
    <fill>
      <patternFill patternType="solid">
        <fgColor theme="2" tint="-0.249977111117893"/>
        <bgColor indexed="64"/>
      </patternFill>
    </fill>
    <fill>
      <patternFill patternType="solid">
        <fgColor theme="1"/>
        <bgColor indexed="64"/>
      </patternFill>
    </fill>
    <fill>
      <patternFill patternType="solid">
        <fgColor theme="5" tint="0.59999389629810485"/>
        <bgColor indexed="64"/>
      </patternFill>
    </fill>
    <fill>
      <patternFill patternType="solid">
        <fgColor rgb="FFFFC00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C6E0B4"/>
        <bgColor indexed="64"/>
      </patternFill>
    </fill>
    <fill>
      <patternFill patternType="solid">
        <fgColor rgb="FFB4C6E7"/>
        <bgColor indexed="64"/>
      </patternFill>
    </fill>
    <fill>
      <patternFill patternType="solid">
        <fgColor rgb="FFF4B084"/>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CC99"/>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FF"/>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bottom/>
      <diagonal/>
    </border>
    <border>
      <left style="medium">
        <color rgb="FFABABAB"/>
      </left>
      <right style="medium">
        <color rgb="FFABABAB"/>
      </right>
      <top style="medium">
        <color rgb="FFABABAB"/>
      </top>
      <bottom style="medium">
        <color rgb="FFABABAB"/>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s>
  <cellStyleXfs count="12">
    <xf numFmtId="0" fontId="0" fillId="0" borderId="0"/>
    <xf numFmtId="0" fontId="6"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9" fontId="4" fillId="0" borderId="0" applyFont="0" applyFill="0" applyBorder="0" applyAlignment="0" applyProtection="0"/>
    <xf numFmtId="0" fontId="3" fillId="0" borderId="0"/>
    <xf numFmtId="9" fontId="3" fillId="0" borderId="0" applyFont="0" applyFill="0" applyBorder="0" applyAlignment="0" applyProtection="0"/>
    <xf numFmtId="0" fontId="27" fillId="23" borderId="32" applyNumberFormat="0" applyAlignment="0" applyProtection="0"/>
    <xf numFmtId="0" fontId="28" fillId="0" borderId="0" applyNumberFormat="0" applyFill="0" applyBorder="0" applyAlignment="0" applyProtection="0"/>
    <xf numFmtId="0" fontId="1" fillId="0" borderId="0"/>
    <xf numFmtId="9" fontId="1" fillId="0" borderId="0" applyFont="0" applyFill="0" applyBorder="0" applyAlignment="0" applyProtection="0"/>
    <xf numFmtId="9" fontId="4" fillId="0" borderId="0" applyFont="0" applyFill="0" applyBorder="0" applyAlignment="0" applyProtection="0"/>
    <xf numFmtId="0" fontId="4" fillId="0" borderId="0"/>
  </cellStyleXfs>
  <cellXfs count="411">
    <xf numFmtId="0" fontId="0" fillId="0" borderId="0" xfId="0"/>
    <xf numFmtId="0" fontId="0" fillId="3" borderId="0" xfId="0" applyFill="1"/>
    <xf numFmtId="0" fontId="7" fillId="0" borderId="0" xfId="0" applyFont="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0" fontId="10" fillId="3" borderId="0" xfId="0" applyFont="1" applyFill="1" applyAlignment="1">
      <alignment horizontal="center" vertical="center" wrapText="1"/>
    </xf>
    <xf numFmtId="0" fontId="0" fillId="0" borderId="2" xfId="0" applyBorder="1"/>
    <xf numFmtId="0" fontId="0" fillId="0" borderId="4" xfId="0" applyBorder="1"/>
    <xf numFmtId="0" fontId="0" fillId="0" borderId="3" xfId="0" applyBorder="1" applyAlignment="1">
      <alignment horizontal="left" indent="1"/>
    </xf>
    <xf numFmtId="0" fontId="7" fillId="0" borderId="7" xfId="0" applyFont="1" applyBorder="1" applyAlignment="1">
      <alignment horizontal="left" indent="1"/>
    </xf>
    <xf numFmtId="0" fontId="0" fillId="0" borderId="8" xfId="0" applyBorder="1"/>
    <xf numFmtId="0" fontId="0" fillId="0" borderId="3" xfId="0" applyBorder="1" applyAlignment="1">
      <alignment horizontal="left" indent="2"/>
    </xf>
    <xf numFmtId="164" fontId="0" fillId="0" borderId="0" xfId="0" applyNumberFormat="1"/>
    <xf numFmtId="165" fontId="0" fillId="0" borderId="0" xfId="3" applyNumberFormat="1" applyFont="1" applyFill="1" applyBorder="1" applyProtection="1"/>
    <xf numFmtId="0" fontId="7" fillId="0" borderId="3" xfId="0" applyFont="1" applyBorder="1" applyAlignment="1">
      <alignment horizontal="left" indent="1"/>
    </xf>
    <xf numFmtId="164" fontId="0" fillId="4" borderId="1" xfId="0" applyNumberFormat="1" applyFill="1" applyBorder="1"/>
    <xf numFmtId="1" fontId="0" fillId="0" borderId="0" xfId="0" applyNumberFormat="1"/>
    <xf numFmtId="0" fontId="0" fillId="2" borderId="10" xfId="0" applyFill="1" applyBorder="1" applyProtection="1">
      <protection locked="0"/>
    </xf>
    <xf numFmtId="0" fontId="0" fillId="0" borderId="0" xfId="0" applyAlignment="1">
      <alignment horizontal="center"/>
    </xf>
    <xf numFmtId="0" fontId="0" fillId="0" borderId="13" xfId="0" applyBorder="1"/>
    <xf numFmtId="0" fontId="0" fillId="8" borderId="0" xfId="0" applyFill="1"/>
    <xf numFmtId="0" fontId="0" fillId="5" borderId="0" xfId="0" applyFill="1"/>
    <xf numFmtId="0" fontId="12" fillId="11" borderId="0" xfId="0" applyFont="1" applyFill="1"/>
    <xf numFmtId="0" fontId="13" fillId="11" borderId="0" xfId="0" applyFont="1" applyFill="1"/>
    <xf numFmtId="0" fontId="0" fillId="0" borderId="12" xfId="0" applyBorder="1"/>
    <xf numFmtId="0" fontId="0" fillId="12" borderId="12" xfId="0" applyFill="1" applyBorder="1"/>
    <xf numFmtId="0" fontId="5" fillId="0" borderId="0" xfId="2" applyAlignment="1" applyProtection="1"/>
    <xf numFmtId="0" fontId="0" fillId="14" borderId="12" xfId="0" applyFill="1" applyBorder="1"/>
    <xf numFmtId="0" fontId="0" fillId="0" borderId="14" xfId="0" applyBorder="1"/>
    <xf numFmtId="0" fontId="14" fillId="0" borderId="0" xfId="0" applyFont="1" applyAlignment="1">
      <alignment wrapText="1"/>
    </xf>
    <xf numFmtId="0" fontId="0" fillId="0" borderId="12" xfId="0" applyBorder="1" applyAlignment="1">
      <alignment horizontal="center"/>
    </xf>
    <xf numFmtId="2" fontId="0" fillId="0" borderId="12" xfId="0" applyNumberFormat="1" applyBorder="1"/>
    <xf numFmtId="0" fontId="6" fillId="0" borderId="0" xfId="1" applyAlignment="1" applyProtection="1"/>
    <xf numFmtId="0" fontId="18" fillId="16" borderId="11" xfId="0" applyFont="1" applyFill="1" applyBorder="1" applyAlignment="1">
      <alignment horizontal="center" vertical="center"/>
    </xf>
    <xf numFmtId="0" fontId="17" fillId="16" borderId="6" xfId="0" applyFont="1" applyFill="1" applyBorder="1" applyAlignment="1">
      <alignment horizontal="center" vertical="center"/>
    </xf>
    <xf numFmtId="0" fontId="18" fillId="17" borderId="11" xfId="0" applyFont="1" applyFill="1" applyBorder="1" applyAlignment="1">
      <alignment horizontal="center" vertical="center"/>
    </xf>
    <xf numFmtId="0" fontId="17" fillId="17" borderId="6" xfId="0" applyFont="1" applyFill="1" applyBorder="1" applyAlignment="1">
      <alignment horizontal="center" vertical="center"/>
    </xf>
    <xf numFmtId="0" fontId="18" fillId="18" borderId="11" xfId="0" applyFont="1" applyFill="1" applyBorder="1" applyAlignment="1">
      <alignment horizontal="center" vertical="center"/>
    </xf>
    <xf numFmtId="0" fontId="17" fillId="18" borderId="6" xfId="0" applyFont="1" applyFill="1" applyBorder="1" applyAlignment="1">
      <alignment horizontal="center" vertical="center"/>
    </xf>
    <xf numFmtId="0" fontId="17" fillId="18" borderId="11" xfId="0" applyFont="1" applyFill="1" applyBorder="1" applyAlignment="1">
      <alignment horizontal="center" vertical="center"/>
    </xf>
    <xf numFmtId="0" fontId="3" fillId="0" borderId="0" xfId="4"/>
    <xf numFmtId="0" fontId="3" fillId="0" borderId="12" xfId="4" applyBorder="1" applyAlignment="1">
      <alignment horizontal="center"/>
    </xf>
    <xf numFmtId="15" fontId="3" fillId="0" borderId="12" xfId="4" applyNumberFormat="1" applyBorder="1"/>
    <xf numFmtId="0" fontId="3" fillId="0" borderId="12" xfId="4" applyBorder="1"/>
    <xf numFmtId="165" fontId="3" fillId="0" borderId="0" xfId="5" applyNumberFormat="1" applyFont="1"/>
    <xf numFmtId="0" fontId="21" fillId="8" borderId="0" xfId="4" applyFont="1" applyFill="1"/>
    <xf numFmtId="0" fontId="21" fillId="8" borderId="0" xfId="4" applyFont="1" applyFill="1" applyAlignment="1">
      <alignment horizontal="center"/>
    </xf>
    <xf numFmtId="0" fontId="16" fillId="0" borderId="12" xfId="4" applyFont="1" applyBorder="1"/>
    <xf numFmtId="0" fontId="3" fillId="0" borderId="18" xfId="4" applyBorder="1"/>
    <xf numFmtId="0" fontId="16" fillId="0" borderId="0" xfId="4" applyFont="1"/>
    <xf numFmtId="0" fontId="16" fillId="0" borderId="0" xfId="4" applyFont="1" applyAlignment="1">
      <alignment horizontal="center"/>
    </xf>
    <xf numFmtId="0" fontId="16" fillId="0" borderId="19" xfId="4" applyFont="1" applyBorder="1"/>
    <xf numFmtId="0" fontId="16" fillId="0" borderId="20" xfId="4" applyFont="1" applyBorder="1"/>
    <xf numFmtId="0" fontId="16" fillId="0" borderId="21" xfId="4" applyFont="1" applyBorder="1" applyAlignment="1">
      <alignment horizontal="center"/>
    </xf>
    <xf numFmtId="0" fontId="16" fillId="0" borderId="21" xfId="4" applyFont="1" applyBorder="1"/>
    <xf numFmtId="0" fontId="16" fillId="0" borderId="20" xfId="4" applyFont="1" applyBorder="1" applyAlignment="1">
      <alignment horizontal="center"/>
    </xf>
    <xf numFmtId="0" fontId="16" fillId="0" borderId="24" xfId="4" applyFont="1" applyBorder="1" applyAlignment="1">
      <alignment horizontal="center"/>
    </xf>
    <xf numFmtId="0" fontId="16" fillId="0" borderId="8" xfId="4" applyFont="1" applyBorder="1"/>
    <xf numFmtId="0" fontId="3" fillId="0" borderId="25" xfId="4" applyBorder="1"/>
    <xf numFmtId="0" fontId="3" fillId="0" borderId="26" xfId="4" applyBorder="1"/>
    <xf numFmtId="0" fontId="16" fillId="0" borderId="9" xfId="4" applyFont="1" applyBorder="1" applyAlignment="1">
      <alignment horizontal="center"/>
    </xf>
    <xf numFmtId="0" fontId="16" fillId="5" borderId="9" xfId="4" applyFont="1" applyFill="1" applyBorder="1" applyAlignment="1">
      <alignment horizontal="center"/>
    </xf>
    <xf numFmtId="0" fontId="16" fillId="19" borderId="12" xfId="4" applyFont="1" applyFill="1" applyBorder="1" applyAlignment="1">
      <alignment horizontal="center"/>
    </xf>
    <xf numFmtId="0" fontId="16" fillId="0" borderId="27" xfId="4" applyFont="1" applyBorder="1" applyAlignment="1">
      <alignment horizontal="center"/>
    </xf>
    <xf numFmtId="0" fontId="16" fillId="20" borderId="27" xfId="4" applyFont="1" applyFill="1" applyBorder="1" applyAlignment="1">
      <alignment horizontal="center"/>
    </xf>
    <xf numFmtId="165" fontId="16" fillId="0" borderId="27" xfId="5" applyNumberFormat="1" applyFont="1" applyBorder="1" applyAlignment="1">
      <alignment horizontal="center"/>
    </xf>
    <xf numFmtId="0" fontId="16" fillId="0" borderId="28" xfId="4" applyFont="1" applyBorder="1" applyAlignment="1">
      <alignment horizontal="center"/>
    </xf>
    <xf numFmtId="0" fontId="3" fillId="0" borderId="27" xfId="4" applyBorder="1"/>
    <xf numFmtId="0" fontId="22" fillId="0" borderId="29" xfId="4" applyFont="1" applyBorder="1" applyAlignment="1">
      <alignment horizontal="center"/>
    </xf>
    <xf numFmtId="0" fontId="23" fillId="0" borderId="0" xfId="4" applyFont="1" applyAlignment="1">
      <alignment horizontal="center"/>
    </xf>
    <xf numFmtId="0" fontId="22" fillId="0" borderId="0" xfId="4" applyFont="1" applyAlignment="1">
      <alignment horizontal="center"/>
    </xf>
    <xf numFmtId="0" fontId="16" fillId="0" borderId="14" xfId="4" applyFont="1" applyBorder="1"/>
    <xf numFmtId="2" fontId="3" fillId="20" borderId="12" xfId="4" applyNumberFormat="1" applyFill="1" applyBorder="1" applyAlignment="1">
      <alignment horizontal="center"/>
    </xf>
    <xf numFmtId="0" fontId="3" fillId="0" borderId="22" xfId="4" applyBorder="1"/>
    <xf numFmtId="0" fontId="16" fillId="0" borderId="14" xfId="4" applyFont="1" applyBorder="1" applyAlignment="1">
      <alignment horizontal="center"/>
    </xf>
    <xf numFmtId="2" fontId="3" fillId="0" borderId="12" xfId="4" applyNumberFormat="1" applyBorder="1" applyAlignment="1">
      <alignment horizontal="center"/>
    </xf>
    <xf numFmtId="0" fontId="3" fillId="0" borderId="14" xfId="4" applyBorder="1"/>
    <xf numFmtId="0" fontId="3" fillId="0" borderId="0" xfId="4" applyAlignment="1">
      <alignment horizontal="center"/>
    </xf>
    <xf numFmtId="0" fontId="3" fillId="8" borderId="0" xfId="4" applyFill="1" applyAlignment="1">
      <alignment horizontal="center"/>
    </xf>
    <xf numFmtId="0" fontId="24" fillId="0" borderId="0" xfId="4" applyFont="1"/>
    <xf numFmtId="0" fontId="15" fillId="0" borderId="0" xfId="4" applyFont="1"/>
    <xf numFmtId="0" fontId="15" fillId="0" borderId="0" xfId="4" applyFont="1" applyAlignment="1">
      <alignment horizontal="center"/>
    </xf>
    <xf numFmtId="0" fontId="25" fillId="0" borderId="12" xfId="4" applyFont="1" applyBorder="1"/>
    <xf numFmtId="0" fontId="25" fillId="0" borderId="14" xfId="4" applyFont="1" applyBorder="1"/>
    <xf numFmtId="0" fontId="3" fillId="10" borderId="0" xfId="4" applyFill="1" applyAlignment="1">
      <alignment horizontal="center"/>
    </xf>
    <xf numFmtId="0" fontId="3" fillId="9" borderId="0" xfId="4" applyFill="1" applyAlignment="1">
      <alignment horizontal="center"/>
    </xf>
    <xf numFmtId="0" fontId="17" fillId="0" borderId="0" xfId="0" applyFont="1" applyAlignment="1">
      <alignment horizontal="center" vertical="center"/>
    </xf>
    <xf numFmtId="0" fontId="4" fillId="0" borderId="3" xfId="0" applyFont="1" applyBorder="1" applyAlignment="1">
      <alignment horizontal="left" indent="2"/>
    </xf>
    <xf numFmtId="0" fontId="4" fillId="0" borderId="4" xfId="0" applyFont="1" applyBorder="1"/>
    <xf numFmtId="0" fontId="4" fillId="0" borderId="3" xfId="0" applyFont="1" applyBorder="1" applyAlignment="1">
      <alignment horizontal="left" indent="1"/>
    </xf>
    <xf numFmtId="0" fontId="4" fillId="0" borderId="0" xfId="0" applyFont="1" applyAlignment="1">
      <alignment horizontal="center"/>
    </xf>
    <xf numFmtId="0" fontId="4" fillId="0" borderId="0" xfId="0" applyFont="1"/>
    <xf numFmtId="0" fontId="4" fillId="2" borderId="10" xfId="0" applyFont="1" applyFill="1" applyBorder="1" applyProtection="1">
      <protection locked="0"/>
    </xf>
    <xf numFmtId="2" fontId="3" fillId="0" borderId="12" xfId="4" applyNumberFormat="1" applyBorder="1"/>
    <xf numFmtId="0" fontId="3" fillId="8" borderId="0" xfId="4" applyFill="1"/>
    <xf numFmtId="0" fontId="3" fillId="10" borderId="0" xfId="4" applyFill="1"/>
    <xf numFmtId="164" fontId="0" fillId="0" borderId="12" xfId="0" applyNumberFormat="1" applyBorder="1"/>
    <xf numFmtId="0" fontId="4" fillId="0" borderId="12" xfId="0" applyFont="1" applyBorder="1"/>
    <xf numFmtId="49" fontId="4" fillId="2" borderId="10" xfId="0" applyNumberFormat="1" applyFont="1" applyFill="1" applyBorder="1" applyAlignment="1" applyProtection="1">
      <alignment horizontal="right"/>
      <protection locked="0"/>
    </xf>
    <xf numFmtId="0" fontId="0" fillId="8" borderId="1" xfId="0" applyFill="1" applyBorder="1" applyProtection="1">
      <protection locked="0"/>
    </xf>
    <xf numFmtId="164" fontId="3" fillId="19" borderId="12" xfId="4" applyNumberFormat="1" applyFill="1" applyBorder="1" applyAlignment="1">
      <alignment horizontal="center"/>
    </xf>
    <xf numFmtId="2" fontId="16" fillId="0" borderId="14" xfId="4" applyNumberFormat="1" applyFont="1" applyBorder="1"/>
    <xf numFmtId="0" fontId="4" fillId="9" borderId="0" xfId="0" applyFont="1" applyFill="1"/>
    <xf numFmtId="0" fontId="18" fillId="6" borderId="11"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11" xfId="0" applyFont="1" applyFill="1" applyBorder="1" applyAlignment="1">
      <alignment horizontal="center" vertical="center"/>
    </xf>
    <xf numFmtId="1" fontId="0" fillId="8" borderId="0" xfId="0" applyNumberFormat="1" applyFill="1"/>
    <xf numFmtId="0" fontId="18" fillId="20" borderId="11" xfId="0" applyFont="1" applyFill="1" applyBorder="1" applyAlignment="1">
      <alignment horizontal="center" vertical="center"/>
    </xf>
    <xf numFmtId="0" fontId="17" fillId="20" borderId="6" xfId="0" applyFont="1" applyFill="1" applyBorder="1" applyAlignment="1">
      <alignment horizontal="center" vertical="center"/>
    </xf>
    <xf numFmtId="0" fontId="17" fillId="20" borderId="11" xfId="0" applyFont="1" applyFill="1" applyBorder="1" applyAlignment="1">
      <alignment horizontal="center" vertical="center"/>
    </xf>
    <xf numFmtId="1" fontId="0" fillId="22" borderId="0" xfId="0" applyNumberFormat="1" applyFill="1"/>
    <xf numFmtId="0" fontId="0" fillId="22" borderId="0" xfId="0" applyFill="1"/>
    <xf numFmtId="166" fontId="3" fillId="0" borderId="12" xfId="4" applyNumberFormat="1" applyBorder="1"/>
    <xf numFmtId="0" fontId="4" fillId="0" borderId="30" xfId="0" applyFont="1" applyBorder="1"/>
    <xf numFmtId="0" fontId="4" fillId="5" borderId="4" xfId="0" applyFont="1" applyFill="1" applyBorder="1" applyAlignment="1">
      <alignment horizontal="left"/>
    </xf>
    <xf numFmtId="0" fontId="4" fillId="0" borderId="12" xfId="0" applyFont="1" applyBorder="1" applyAlignment="1">
      <alignment horizontal="left"/>
    </xf>
    <xf numFmtId="0" fontId="4" fillId="13" borderId="0" xfId="0" applyFont="1" applyFill="1"/>
    <xf numFmtId="1" fontId="4" fillId="0" borderId="4" xfId="0" applyNumberFormat="1" applyFont="1" applyBorder="1" applyAlignment="1">
      <alignment horizontal="left"/>
    </xf>
    <xf numFmtId="0" fontId="4" fillId="0" borderId="3" xfId="0" applyFont="1" applyBorder="1"/>
    <xf numFmtId="0" fontId="4" fillId="14" borderId="12" xfId="0" applyFont="1" applyFill="1" applyBorder="1"/>
    <xf numFmtId="0" fontId="4" fillId="0" borderId="4" xfId="0" applyFont="1" applyBorder="1" applyAlignment="1">
      <alignment horizontal="left"/>
    </xf>
    <xf numFmtId="0" fontId="4" fillId="0" borderId="5" xfId="0" applyFont="1" applyBorder="1"/>
    <xf numFmtId="0" fontId="4" fillId="0" borderId="13" xfId="0" applyFont="1" applyBorder="1"/>
    <xf numFmtId="0" fontId="2" fillId="0" borderId="0" xfId="4" applyFont="1"/>
    <xf numFmtId="0" fontId="2" fillId="0" borderId="0" xfId="4" applyFont="1" applyAlignment="1">
      <alignment horizontal="center"/>
    </xf>
    <xf numFmtId="165" fontId="2" fillId="0" borderId="0" xfId="5" applyNumberFormat="1" applyFont="1"/>
    <xf numFmtId="0" fontId="16" fillId="0" borderId="12" xfId="4" applyFont="1" applyBorder="1" applyAlignment="1">
      <alignment horizontal="left"/>
    </xf>
    <xf numFmtId="0" fontId="17" fillId="0" borderId="17" xfId="0" applyFont="1" applyBorder="1" applyAlignment="1">
      <alignment horizontal="center" vertical="center"/>
    </xf>
    <xf numFmtId="0" fontId="16" fillId="0" borderId="12" xfId="4" applyFont="1" applyBorder="1" applyAlignment="1">
      <alignment horizontal="center"/>
    </xf>
    <xf numFmtId="0" fontId="28" fillId="0" borderId="0" xfId="7"/>
    <xf numFmtId="0" fontId="27" fillId="23" borderId="32" xfId="6"/>
    <xf numFmtId="0" fontId="4" fillId="0" borderId="0" xfId="0" applyFont="1" applyAlignment="1">
      <alignment textRotation="45"/>
    </xf>
    <xf numFmtId="0" fontId="0" fillId="0" borderId="0" xfId="0" applyAlignment="1">
      <alignment textRotation="45"/>
    </xf>
    <xf numFmtId="0" fontId="28" fillId="5" borderId="32" xfId="7" applyFill="1" applyBorder="1"/>
    <xf numFmtId="0" fontId="0" fillId="0" borderId="12" xfId="0" quotePrefix="1" applyBorder="1"/>
    <xf numFmtId="0" fontId="4" fillId="0" borderId="12" xfId="0" quotePrefix="1" applyFont="1" applyBorder="1"/>
    <xf numFmtId="166" fontId="0" fillId="0" borderId="12" xfId="0" applyNumberFormat="1" applyBorder="1"/>
    <xf numFmtId="11" fontId="0" fillId="0" borderId="0" xfId="0" applyNumberFormat="1"/>
    <xf numFmtId="11" fontId="0" fillId="0" borderId="12" xfId="0" applyNumberFormat="1" applyBorder="1"/>
    <xf numFmtId="0" fontId="0" fillId="8" borderId="12" xfId="0" applyFill="1" applyBorder="1"/>
    <xf numFmtId="0" fontId="0" fillId="0" borderId="30" xfId="0" applyBorder="1"/>
    <xf numFmtId="0" fontId="0" fillId="8" borderId="12" xfId="0" applyFill="1" applyBorder="1" applyAlignment="1">
      <alignment horizontal="right"/>
    </xf>
    <xf numFmtId="0" fontId="0" fillId="24" borderId="12" xfId="0" applyFill="1" applyBorder="1" applyAlignment="1">
      <alignment horizontal="right"/>
    </xf>
    <xf numFmtId="2" fontId="0" fillId="7" borderId="1" xfId="0" applyNumberFormat="1" applyFill="1" applyBorder="1" applyAlignment="1">
      <alignment horizontal="center"/>
    </xf>
    <xf numFmtId="0" fontId="0" fillId="6" borderId="12" xfId="0" applyFill="1" applyBorder="1"/>
    <xf numFmtId="11" fontId="0" fillId="6" borderId="12" xfId="0" applyNumberFormat="1" applyFill="1" applyBorder="1"/>
    <xf numFmtId="2" fontId="0" fillId="6" borderId="12" xfId="0" applyNumberFormat="1" applyFill="1" applyBorder="1"/>
    <xf numFmtId="0" fontId="0" fillId="6" borderId="0" xfId="0" applyFill="1"/>
    <xf numFmtId="1" fontId="0" fillId="21" borderId="1" xfId="0" applyNumberFormat="1" applyFill="1" applyBorder="1"/>
    <xf numFmtId="2" fontId="0" fillId="21" borderId="1" xfId="0" applyNumberFormat="1" applyFill="1" applyBorder="1"/>
    <xf numFmtId="2" fontId="0" fillId="21" borderId="1" xfId="0" applyNumberFormat="1" applyFill="1" applyBorder="1" applyProtection="1">
      <protection hidden="1"/>
    </xf>
    <xf numFmtId="9" fontId="0" fillId="21" borderId="1" xfId="3" applyFont="1" applyFill="1" applyBorder="1" applyProtection="1"/>
    <xf numFmtId="164" fontId="0" fillId="21" borderId="11" xfId="0" applyNumberFormat="1" applyFill="1" applyBorder="1"/>
    <xf numFmtId="0" fontId="0" fillId="21" borderId="1" xfId="0" applyFill="1" applyBorder="1" applyAlignment="1">
      <alignment horizontal="center"/>
    </xf>
    <xf numFmtId="0" fontId="31" fillId="0" borderId="0" xfId="0" applyFont="1"/>
    <xf numFmtId="0" fontId="8" fillId="5" borderId="0" xfId="0" applyFont="1" applyFill="1"/>
    <xf numFmtId="0" fontId="4" fillId="0" borderId="3" xfId="0" applyFont="1" applyBorder="1" applyAlignment="1">
      <alignment horizontal="left"/>
    </xf>
    <xf numFmtId="0" fontId="0" fillId="8" borderId="1" xfId="0" applyFill="1" applyBorder="1" applyAlignment="1" applyProtection="1">
      <alignment horizontal="right"/>
      <protection locked="0"/>
    </xf>
    <xf numFmtId="0" fontId="4" fillId="0" borderId="19" xfId="0" applyFont="1" applyBorder="1"/>
    <xf numFmtId="0" fontId="0" fillId="0" borderId="19" xfId="0" applyBorder="1"/>
    <xf numFmtId="0" fontId="0" fillId="24" borderId="12" xfId="0" applyFill="1" applyBorder="1" applyProtection="1">
      <protection locked="0"/>
    </xf>
    <xf numFmtId="1" fontId="0" fillId="8" borderId="1" xfId="0" applyNumberFormat="1" applyFill="1" applyBorder="1" applyAlignment="1" applyProtection="1">
      <alignment horizontal="right"/>
      <protection locked="0"/>
    </xf>
    <xf numFmtId="0" fontId="0" fillId="5" borderId="0" xfId="0" applyFill="1" applyAlignment="1">
      <alignment horizontal="left"/>
    </xf>
    <xf numFmtId="0" fontId="4" fillId="5" borderId="4" xfId="0" applyFont="1" applyFill="1" applyBorder="1"/>
    <xf numFmtId="0" fontId="4" fillId="5" borderId="6" xfId="0" applyFont="1" applyFill="1" applyBorder="1" applyAlignment="1">
      <alignment horizontal="left"/>
    </xf>
    <xf numFmtId="0" fontId="4" fillId="5" borderId="0" xfId="0" applyFont="1" applyFill="1" applyAlignment="1">
      <alignment horizontal="left"/>
    </xf>
    <xf numFmtId="0" fontId="0" fillId="0" borderId="0" xfId="0" applyProtection="1">
      <protection locked="0"/>
    </xf>
    <xf numFmtId="1" fontId="0" fillId="5" borderId="8" xfId="0" applyNumberFormat="1" applyFill="1" applyBorder="1" applyAlignment="1" applyProtection="1">
      <alignment horizontal="right"/>
      <protection locked="0"/>
    </xf>
    <xf numFmtId="164" fontId="0" fillId="0" borderId="8" xfId="0" applyNumberFormat="1" applyBorder="1"/>
    <xf numFmtId="0" fontId="7" fillId="8" borderId="1" xfId="0" applyFont="1" applyFill="1" applyBorder="1" applyAlignment="1">
      <alignment horizontal="center"/>
    </xf>
    <xf numFmtId="2" fontId="0" fillId="0" borderId="0" xfId="0" applyNumberFormat="1" applyProtection="1">
      <protection hidden="1"/>
    </xf>
    <xf numFmtId="2" fontId="0" fillId="0" borderId="0" xfId="0" applyNumberFormat="1"/>
    <xf numFmtId="0" fontId="0" fillId="0" borderId="9" xfId="0" applyBorder="1"/>
    <xf numFmtId="0" fontId="4" fillId="0" borderId="6" xfId="0" applyFont="1" applyBorder="1"/>
    <xf numFmtId="164" fontId="0" fillId="6" borderId="1" xfId="0" applyNumberFormat="1" applyFill="1" applyBorder="1" applyAlignment="1">
      <alignment horizontal="right"/>
    </xf>
    <xf numFmtId="164" fontId="0" fillId="21" borderId="1" xfId="0" applyNumberFormat="1" applyFill="1" applyBorder="1"/>
    <xf numFmtId="9" fontId="0" fillId="6" borderId="1" xfId="3" applyFont="1" applyFill="1" applyBorder="1" applyAlignment="1" applyProtection="1">
      <alignment horizontal="right"/>
    </xf>
    <xf numFmtId="164" fontId="0" fillId="21" borderId="1" xfId="0" applyNumberFormat="1" applyFill="1" applyBorder="1" applyAlignment="1">
      <alignment horizontal="center"/>
    </xf>
    <xf numFmtId="164" fontId="0" fillId="15" borderId="1" xfId="0" applyNumberFormat="1" applyFill="1" applyBorder="1" applyAlignment="1">
      <alignment horizontal="center"/>
    </xf>
    <xf numFmtId="0" fontId="4" fillId="0" borderId="2" xfId="0" applyFont="1" applyBorder="1" applyAlignment="1">
      <alignment horizontal="left"/>
    </xf>
    <xf numFmtId="164" fontId="0" fillId="5" borderId="0" xfId="0" applyNumberFormat="1" applyFill="1"/>
    <xf numFmtId="164" fontId="0" fillId="5" borderId="9" xfId="0" applyNumberFormat="1" applyFill="1" applyBorder="1"/>
    <xf numFmtId="0" fontId="3" fillId="25" borderId="0" xfId="4" applyFill="1"/>
    <xf numFmtId="0" fontId="16" fillId="25" borderId="0" xfId="4" applyFont="1" applyFill="1" applyAlignment="1">
      <alignment horizontal="center"/>
    </xf>
    <xf numFmtId="0" fontId="16" fillId="25" borderId="12" xfId="4" applyFont="1" applyFill="1" applyBorder="1" applyAlignment="1">
      <alignment horizontal="center"/>
    </xf>
    <xf numFmtId="0" fontId="3" fillId="25" borderId="12" xfId="4" applyFill="1" applyBorder="1"/>
    <xf numFmtId="0" fontId="16" fillId="25" borderId="0" xfId="4" applyFont="1" applyFill="1" applyAlignment="1">
      <alignment horizontal="left"/>
    </xf>
    <xf numFmtId="0" fontId="11" fillId="6" borderId="3" xfId="0" applyFont="1" applyFill="1" applyBorder="1" applyAlignment="1">
      <alignment horizontal="left"/>
    </xf>
    <xf numFmtId="0" fontId="11" fillId="6" borderId="4" xfId="0" applyFont="1" applyFill="1" applyBorder="1" applyAlignment="1">
      <alignment horizontal="left"/>
    </xf>
    <xf numFmtId="0" fontId="0" fillId="11" borderId="0" xfId="0" applyFill="1"/>
    <xf numFmtId="0" fontId="7" fillId="6" borderId="1" xfId="0" applyFont="1" applyFill="1" applyBorder="1"/>
    <xf numFmtId="9" fontId="0" fillId="6" borderId="10" xfId="3" applyFont="1" applyFill="1" applyBorder="1" applyAlignment="1" applyProtection="1">
      <alignment horizontal="right"/>
    </xf>
    <xf numFmtId="0" fontId="11" fillId="6" borderId="0" xfId="0" applyFont="1" applyFill="1" applyAlignment="1">
      <alignment horizontal="left"/>
    </xf>
    <xf numFmtId="0" fontId="4" fillId="11" borderId="0" xfId="0" applyFont="1" applyFill="1"/>
    <xf numFmtId="0" fontId="0" fillId="5" borderId="12" xfId="0" applyFill="1" applyBorder="1"/>
    <xf numFmtId="0" fontId="4" fillId="5" borderId="0" xfId="0" applyFont="1" applyFill="1"/>
    <xf numFmtId="0" fontId="4" fillId="0" borderId="0" xfId="0" applyFont="1" applyAlignment="1">
      <alignment horizontal="left" indent="1"/>
    </xf>
    <xf numFmtId="0" fontId="0" fillId="0" borderId="0" xfId="0" applyAlignment="1">
      <alignment horizontal="left" indent="2"/>
    </xf>
    <xf numFmtId="0" fontId="4" fillId="0" borderId="0" xfId="0" applyFont="1" applyAlignment="1">
      <alignment horizontal="left" indent="2"/>
    </xf>
    <xf numFmtId="1" fontId="4" fillId="0" borderId="0" xfId="0" applyNumberFormat="1" applyFont="1" applyAlignment="1">
      <alignment horizontal="left"/>
    </xf>
    <xf numFmtId="0" fontId="4" fillId="8" borderId="0" xfId="0" applyFont="1" applyFill="1"/>
    <xf numFmtId="2" fontId="3" fillId="0" borderId="0" xfId="4" applyNumberFormat="1"/>
    <xf numFmtId="0" fontId="32" fillId="26" borderId="34" xfId="0" applyFont="1" applyFill="1" applyBorder="1" applyAlignment="1">
      <alignment vertical="center" wrapText="1"/>
    </xf>
    <xf numFmtId="0" fontId="32" fillId="26" borderId="34" xfId="0" applyFont="1" applyFill="1" applyBorder="1" applyAlignment="1">
      <alignment horizontal="center" vertical="center"/>
    </xf>
    <xf numFmtId="0" fontId="33" fillId="0" borderId="0" xfId="0" applyFont="1" applyAlignment="1">
      <alignment vertical="center" wrapText="1"/>
    </xf>
    <xf numFmtId="0" fontId="33" fillId="0" borderId="0" xfId="0" applyFont="1" applyAlignment="1">
      <alignment horizontal="left" vertical="center" wrapText="1"/>
    </xf>
    <xf numFmtId="0" fontId="32" fillId="26" borderId="34" xfId="0" applyFont="1" applyFill="1" applyBorder="1" applyAlignment="1">
      <alignment horizontal="left" vertical="center" wrapText="1"/>
    </xf>
    <xf numFmtId="0" fontId="0" fillId="0" borderId="0" xfId="8" applyFont="1"/>
    <xf numFmtId="165" fontId="0" fillId="0" borderId="0" xfId="9" applyNumberFormat="1" applyFont="1"/>
    <xf numFmtId="0" fontId="0" fillId="0" borderId="0" xfId="8" applyFont="1" applyAlignment="1">
      <alignment horizontal="center"/>
    </xf>
    <xf numFmtId="0" fontId="0" fillId="9" borderId="0" xfId="8" applyFont="1" applyFill="1" applyAlignment="1">
      <alignment horizontal="center"/>
    </xf>
    <xf numFmtId="0" fontId="0" fillId="10" borderId="0" xfId="8" applyFont="1" applyFill="1" applyAlignment="1">
      <alignment horizontal="center"/>
    </xf>
    <xf numFmtId="0" fontId="0" fillId="0" borderId="12" xfId="8" applyFont="1" applyBorder="1"/>
    <xf numFmtId="0" fontId="0" fillId="8" borderId="0" xfId="8" applyFont="1" applyFill="1"/>
    <xf numFmtId="0" fontId="0" fillId="0" borderId="12" xfId="8" applyFont="1" applyBorder="1" applyAlignment="1">
      <alignment horizontal="center"/>
    </xf>
    <xf numFmtId="0" fontId="25" fillId="0" borderId="12" xfId="8" applyFont="1" applyBorder="1"/>
    <xf numFmtId="0" fontId="0" fillId="0" borderId="0" xfId="10" applyNumberFormat="1" applyFont="1"/>
    <xf numFmtId="2" fontId="0" fillId="0" borderId="0" xfId="8" applyNumberFormat="1" applyFont="1"/>
    <xf numFmtId="2" fontId="0" fillId="0" borderId="0" xfId="10" applyNumberFormat="1" applyFont="1"/>
    <xf numFmtId="0" fontId="15" fillId="0" borderId="0" xfId="8" applyFont="1"/>
    <xf numFmtId="0" fontId="15" fillId="0" borderId="0" xfId="8" applyFont="1" applyAlignment="1">
      <alignment horizontal="center"/>
    </xf>
    <xf numFmtId="0" fontId="24" fillId="0" borderId="0" xfId="8" applyFont="1"/>
    <xf numFmtId="0" fontId="0" fillId="8" borderId="0" xfId="8" applyFont="1" applyFill="1" applyAlignment="1">
      <alignment horizontal="center"/>
    </xf>
    <xf numFmtId="0" fontId="16" fillId="0" borderId="0" xfId="8" applyFont="1"/>
    <xf numFmtId="0" fontId="0" fillId="10" borderId="0" xfId="8" applyFont="1" applyFill="1"/>
    <xf numFmtId="0" fontId="25" fillId="0" borderId="14" xfId="8" applyFont="1" applyBorder="1"/>
    <xf numFmtId="2" fontId="0" fillId="0" borderId="12" xfId="8" applyNumberFormat="1" applyFont="1" applyBorder="1"/>
    <xf numFmtId="2" fontId="0" fillId="0" borderId="12" xfId="8" applyNumberFormat="1" applyFont="1" applyBorder="1" applyAlignment="1">
      <alignment horizontal="center"/>
    </xf>
    <xf numFmtId="10" fontId="0" fillId="0" borderId="0" xfId="9" applyNumberFormat="1" applyFont="1"/>
    <xf numFmtId="9" fontId="0" fillId="0" borderId="0" xfId="9" applyFont="1"/>
    <xf numFmtId="167" fontId="0" fillId="0" borderId="0" xfId="8" applyNumberFormat="1" applyFont="1"/>
    <xf numFmtId="166" fontId="0" fillId="0" borderId="0" xfId="8" applyNumberFormat="1" applyFont="1"/>
    <xf numFmtId="0" fontId="0" fillId="0" borderId="22" xfId="8" applyFont="1" applyBorder="1"/>
    <xf numFmtId="165" fontId="0" fillId="0" borderId="12" xfId="9" applyNumberFormat="1" applyFont="1" applyBorder="1" applyAlignment="1">
      <alignment horizontal="center"/>
    </xf>
    <xf numFmtId="0" fontId="16" fillId="0" borderId="12" xfId="8" applyFont="1" applyBorder="1"/>
    <xf numFmtId="0" fontId="16" fillId="0" borderId="12" xfId="8" applyFont="1" applyBorder="1" applyAlignment="1">
      <alignment horizontal="center"/>
    </xf>
    <xf numFmtId="9" fontId="0" fillId="0" borderId="12" xfId="9" applyFont="1" applyBorder="1" applyAlignment="1">
      <alignment horizontal="center"/>
    </xf>
    <xf numFmtId="2" fontId="16" fillId="0" borderId="14" xfId="8" applyNumberFormat="1" applyFont="1" applyBorder="1"/>
    <xf numFmtId="2" fontId="0" fillId="20" borderId="12" xfId="8" applyNumberFormat="1" applyFont="1" applyFill="1" applyBorder="1" applyAlignment="1">
      <alignment horizontal="center"/>
    </xf>
    <xf numFmtId="1" fontId="34" fillId="0" borderId="12" xfId="11" applyNumberFormat="1" applyFont="1" applyBorder="1"/>
    <xf numFmtId="0" fontId="4" fillId="6" borderId="12" xfId="11" applyFill="1" applyBorder="1"/>
    <xf numFmtId="164" fontId="0" fillId="19" borderId="12" xfId="8" applyNumberFormat="1" applyFont="1" applyFill="1" applyBorder="1" applyAlignment="1">
      <alignment horizontal="center"/>
    </xf>
    <xf numFmtId="164" fontId="0" fillId="5" borderId="22" xfId="8" applyNumberFormat="1" applyFont="1" applyFill="1" applyBorder="1" applyAlignment="1">
      <alignment horizontal="center"/>
    </xf>
    <xf numFmtId="0" fontId="0" fillId="6" borderId="12" xfId="8" applyFont="1" applyFill="1" applyBorder="1"/>
    <xf numFmtId="0" fontId="16" fillId="0" borderId="14" xfId="8" applyFont="1" applyBorder="1" applyAlignment="1">
      <alignment horizontal="center"/>
    </xf>
    <xf numFmtId="0" fontId="16" fillId="0" borderId="14" xfId="8" applyFont="1" applyBorder="1"/>
    <xf numFmtId="0" fontId="0" fillId="0" borderId="14" xfId="8" applyFont="1" applyBorder="1"/>
    <xf numFmtId="164" fontId="0" fillId="0" borderId="12" xfId="8" applyNumberFormat="1" applyFont="1" applyBorder="1" applyAlignment="1">
      <alignment horizontal="center"/>
    </xf>
    <xf numFmtId="0" fontId="22" fillId="0" borderId="0" xfId="8" applyFont="1" applyAlignment="1">
      <alignment horizontal="center"/>
    </xf>
    <xf numFmtId="0" fontId="23" fillId="0" borderId="0" xfId="8" applyFont="1" applyAlignment="1">
      <alignment horizontal="center"/>
    </xf>
    <xf numFmtId="0" fontId="4" fillId="0" borderId="12" xfId="11" applyBorder="1"/>
    <xf numFmtId="9" fontId="0" fillId="8" borderId="12" xfId="10" applyFont="1" applyFill="1" applyBorder="1"/>
    <xf numFmtId="9" fontId="0" fillId="0" borderId="12" xfId="10" applyFont="1" applyBorder="1"/>
    <xf numFmtId="0" fontId="22" fillId="0" borderId="29" xfId="8" applyFont="1" applyBorder="1" applyAlignment="1">
      <alignment horizontal="center"/>
    </xf>
    <xf numFmtId="0" fontId="0" fillId="0" borderId="27" xfId="8" applyFont="1" applyBorder="1"/>
    <xf numFmtId="0" fontId="16" fillId="0" borderId="28" xfId="8" applyFont="1" applyBorder="1" applyAlignment="1">
      <alignment horizontal="center"/>
    </xf>
    <xf numFmtId="165" fontId="16" fillId="0" borderId="27" xfId="9" applyNumberFormat="1" applyFont="1" applyBorder="1" applyAlignment="1">
      <alignment horizontal="center"/>
    </xf>
    <xf numFmtId="0" fontId="16" fillId="0" borderId="27" xfId="8" applyFont="1" applyBorder="1" applyAlignment="1">
      <alignment horizontal="center"/>
    </xf>
    <xf numFmtId="0" fontId="16" fillId="0" borderId="9" xfId="8" applyFont="1" applyBorder="1" applyAlignment="1">
      <alignment horizontal="center"/>
    </xf>
    <xf numFmtId="0" fontId="16" fillId="20" borderId="27" xfId="8" applyFont="1" applyFill="1" applyBorder="1" applyAlignment="1">
      <alignment horizontal="center"/>
    </xf>
    <xf numFmtId="0" fontId="16" fillId="0" borderId="21" xfId="8" applyFont="1" applyBorder="1" applyAlignment="1">
      <alignment horizontal="center"/>
    </xf>
    <xf numFmtId="0" fontId="16" fillId="19" borderId="12" xfId="8" applyFont="1" applyFill="1" applyBorder="1" applyAlignment="1">
      <alignment horizontal="center"/>
    </xf>
    <xf numFmtId="0" fontId="16" fillId="5" borderId="9" xfId="8" applyFont="1" applyFill="1" applyBorder="1" applyAlignment="1">
      <alignment horizontal="center"/>
    </xf>
    <xf numFmtId="0" fontId="16" fillId="0" borderId="0" xfId="8" applyFont="1" applyAlignment="1">
      <alignment horizontal="center"/>
    </xf>
    <xf numFmtId="0" fontId="0" fillId="0" borderId="35" xfId="8" applyFont="1" applyBorder="1"/>
    <xf numFmtId="0" fontId="0" fillId="0" borderId="30" xfId="8" applyFont="1" applyBorder="1"/>
    <xf numFmtId="0" fontId="16" fillId="0" borderId="36" xfId="8" applyFont="1" applyBorder="1" applyAlignment="1">
      <alignment horizontal="center"/>
    </xf>
    <xf numFmtId="0" fontId="16" fillId="0" borderId="37" xfId="8" applyFont="1" applyBorder="1" applyAlignment="1">
      <alignment horizontal="center"/>
    </xf>
    <xf numFmtId="0" fontId="16" fillId="0" borderId="20" xfId="8" applyFont="1" applyBorder="1"/>
    <xf numFmtId="0" fontId="0" fillId="0" borderId="26" xfId="8" applyFont="1" applyBorder="1"/>
    <xf numFmtId="0" fontId="0" fillId="0" borderId="25" xfId="8" applyFont="1" applyBorder="1"/>
    <xf numFmtId="0" fontId="16" fillId="0" borderId="8" xfId="8" applyFont="1" applyBorder="1"/>
    <xf numFmtId="0" fontId="16" fillId="0" borderId="24" xfId="8" applyFont="1" applyBorder="1" applyAlignment="1">
      <alignment horizontal="center"/>
    </xf>
    <xf numFmtId="0" fontId="16" fillId="0" borderId="20" xfId="8" applyFont="1" applyBorder="1" applyAlignment="1">
      <alignment horizontal="center"/>
    </xf>
    <xf numFmtId="0" fontId="16" fillId="0" borderId="19" xfId="8" applyFont="1" applyBorder="1"/>
    <xf numFmtId="0" fontId="16" fillId="0" borderId="21" xfId="8" applyFont="1" applyBorder="1"/>
    <xf numFmtId="0" fontId="16" fillId="0" borderId="12" xfId="8" applyFont="1" applyBorder="1" applyAlignment="1">
      <alignment horizontal="left"/>
    </xf>
    <xf numFmtId="0" fontId="0" fillId="25" borderId="0" xfId="8" applyFont="1" applyFill="1"/>
    <xf numFmtId="165" fontId="0" fillId="25" borderId="0" xfId="9" applyNumberFormat="1" applyFont="1" applyFill="1"/>
    <xf numFmtId="0" fontId="16" fillId="25" borderId="0" xfId="8" applyFont="1" applyFill="1" applyAlignment="1">
      <alignment horizontal="left"/>
    </xf>
    <xf numFmtId="0" fontId="16" fillId="25" borderId="0" xfId="8" applyFont="1" applyFill="1" applyAlignment="1">
      <alignment horizontal="center"/>
    </xf>
    <xf numFmtId="0" fontId="16" fillId="6" borderId="12" xfId="8" applyFont="1" applyFill="1" applyBorder="1" applyAlignment="1">
      <alignment horizontal="center"/>
    </xf>
    <xf numFmtId="0" fontId="16" fillId="25" borderId="12" xfId="8" applyFont="1" applyFill="1" applyBorder="1" applyAlignment="1">
      <alignment horizontal="center"/>
    </xf>
    <xf numFmtId="0" fontId="0" fillId="0" borderId="18" xfId="8" applyFont="1" applyBorder="1"/>
    <xf numFmtId="0" fontId="16" fillId="6" borderId="12" xfId="8" applyFont="1" applyFill="1" applyBorder="1" applyAlignment="1">
      <alignment horizontal="center" vertical="center"/>
    </xf>
    <xf numFmtId="15" fontId="0" fillId="6" borderId="12" xfId="8" applyNumberFormat="1" applyFont="1" applyFill="1" applyBorder="1"/>
    <xf numFmtId="0" fontId="1" fillId="0" borderId="0" xfId="8"/>
    <xf numFmtId="165" fontId="1" fillId="0" borderId="0" xfId="9" applyNumberFormat="1" applyFont="1"/>
    <xf numFmtId="0" fontId="1" fillId="0" borderId="0" xfId="8" applyAlignment="1">
      <alignment horizontal="center"/>
    </xf>
    <xf numFmtId="0" fontId="1" fillId="9" borderId="0" xfId="8" applyFill="1" applyAlignment="1">
      <alignment horizontal="center"/>
    </xf>
    <xf numFmtId="0" fontId="1" fillId="10" borderId="0" xfId="8" applyFill="1" applyAlignment="1">
      <alignment horizontal="center"/>
    </xf>
    <xf numFmtId="0" fontId="1" fillId="0" borderId="12" xfId="8" applyBorder="1"/>
    <xf numFmtId="0" fontId="1" fillId="8" borderId="0" xfId="8" applyFill="1"/>
    <xf numFmtId="0" fontId="1" fillId="0" borderId="12" xfId="8" applyBorder="1" applyAlignment="1">
      <alignment horizontal="center"/>
    </xf>
    <xf numFmtId="0" fontId="1" fillId="0" borderId="0" xfId="10" applyNumberFormat="1" applyFont="1"/>
    <xf numFmtId="2" fontId="1" fillId="0" borderId="0" xfId="8" applyNumberFormat="1"/>
    <xf numFmtId="2" fontId="1" fillId="0" borderId="0" xfId="10" applyNumberFormat="1" applyFont="1"/>
    <xf numFmtId="0" fontId="1" fillId="0" borderId="0" xfId="10" quotePrefix="1" applyNumberFormat="1" applyFont="1"/>
    <xf numFmtId="0" fontId="1" fillId="8" borderId="0" xfId="8" applyFill="1" applyAlignment="1">
      <alignment horizontal="center"/>
    </xf>
    <xf numFmtId="0" fontId="1" fillId="10" borderId="0" xfId="8" applyFill="1"/>
    <xf numFmtId="2" fontId="1" fillId="0" borderId="12" xfId="8" applyNumberFormat="1" applyBorder="1"/>
    <xf numFmtId="2" fontId="1" fillId="0" borderId="12" xfId="8" applyNumberFormat="1" applyBorder="1" applyAlignment="1">
      <alignment horizontal="center"/>
    </xf>
    <xf numFmtId="10" fontId="1" fillId="0" borderId="0" xfId="9" applyNumberFormat="1"/>
    <xf numFmtId="9" fontId="1" fillId="0" borderId="0" xfId="9"/>
    <xf numFmtId="167" fontId="1" fillId="0" borderId="0" xfId="8" applyNumberFormat="1"/>
    <xf numFmtId="166" fontId="1" fillId="0" borderId="0" xfId="8" applyNumberFormat="1"/>
    <xf numFmtId="0" fontId="1" fillId="0" borderId="22" xfId="8" applyBorder="1"/>
    <xf numFmtId="165" fontId="1" fillId="0" borderId="12" xfId="9" applyNumberFormat="1" applyFont="1" applyBorder="1" applyAlignment="1">
      <alignment horizontal="center"/>
    </xf>
    <xf numFmtId="9" fontId="1" fillId="0" borderId="12" xfId="9" applyFont="1" applyBorder="1" applyAlignment="1">
      <alignment horizontal="center"/>
    </xf>
    <xf numFmtId="2" fontId="1" fillId="20" borderId="12" xfId="8" applyNumberFormat="1" applyFill="1" applyBorder="1" applyAlignment="1">
      <alignment horizontal="center"/>
    </xf>
    <xf numFmtId="164" fontId="1" fillId="19" borderId="12" xfId="8" applyNumberFormat="1" applyFill="1" applyBorder="1" applyAlignment="1">
      <alignment horizontal="center"/>
    </xf>
    <xf numFmtId="164" fontId="1" fillId="5" borderId="22" xfId="8" applyNumberFormat="1" applyFill="1" applyBorder="1" applyAlignment="1">
      <alignment horizontal="center"/>
    </xf>
    <xf numFmtId="0" fontId="1" fillId="6" borderId="12" xfId="8" applyFill="1" applyBorder="1"/>
    <xf numFmtId="0" fontId="1" fillId="0" borderId="14" xfId="8" applyBorder="1"/>
    <xf numFmtId="164" fontId="1" fillId="0" borderId="12" xfId="8" applyNumberFormat="1" applyBorder="1" applyAlignment="1">
      <alignment horizontal="center"/>
    </xf>
    <xf numFmtId="9" fontId="1" fillId="8" borderId="12" xfId="10" applyFont="1" applyFill="1" applyBorder="1"/>
    <xf numFmtId="9" fontId="1" fillId="0" borderId="12" xfId="10" applyFont="1" applyBorder="1"/>
    <xf numFmtId="0" fontId="1" fillId="0" borderId="27" xfId="8" applyBorder="1"/>
    <xf numFmtId="0" fontId="1" fillId="0" borderId="35" xfId="8" applyBorder="1"/>
    <xf numFmtId="0" fontId="1" fillId="0" borderId="30" xfId="8" applyBorder="1"/>
    <xf numFmtId="0" fontId="1" fillId="0" borderId="26" xfId="8" applyBorder="1"/>
    <xf numFmtId="0" fontId="1" fillId="0" borderId="25" xfId="8" applyBorder="1"/>
    <xf numFmtId="165" fontId="1" fillId="0" borderId="0" xfId="9" applyNumberFormat="1" applyFont="1" applyBorder="1" applyAlignment="1"/>
    <xf numFmtId="0" fontId="1" fillId="25" borderId="0" xfId="8" applyFill="1"/>
    <xf numFmtId="165" fontId="1" fillId="25" borderId="0" xfId="9" applyNumberFormat="1" applyFont="1" applyFill="1" applyBorder="1" applyAlignment="1"/>
    <xf numFmtId="0" fontId="1" fillId="0" borderId="18" xfId="8" applyBorder="1"/>
    <xf numFmtId="15" fontId="1" fillId="6" borderId="12" xfId="8" applyNumberFormat="1" applyFill="1" applyBorder="1"/>
    <xf numFmtId="0" fontId="28" fillId="0" borderId="0" xfId="7" applyFill="1" applyBorder="1"/>
    <xf numFmtId="0" fontId="27" fillId="23" borderId="0" xfId="6" applyBorder="1"/>
    <xf numFmtId="2" fontId="27" fillId="23" borderId="32" xfId="6" applyNumberFormat="1"/>
    <xf numFmtId="0" fontId="0" fillId="11" borderId="13" xfId="0" applyFill="1" applyBorder="1"/>
    <xf numFmtId="0" fontId="1" fillId="0" borderId="12" xfId="4" applyFont="1" applyBorder="1"/>
    <xf numFmtId="165" fontId="1" fillId="0" borderId="0" xfId="5" applyNumberFormat="1" applyFont="1"/>
    <xf numFmtId="0" fontId="1" fillId="25" borderId="0" xfId="4" applyFont="1" applyFill="1"/>
    <xf numFmtId="165" fontId="1" fillId="25" borderId="0" xfId="5" applyNumberFormat="1" applyFont="1" applyFill="1" applyBorder="1" applyAlignment="1"/>
    <xf numFmtId="0" fontId="1" fillId="0" borderId="0" xfId="4" applyFont="1"/>
    <xf numFmtId="165" fontId="1" fillId="0" borderId="0" xfId="5" applyNumberFormat="1" applyFont="1" applyBorder="1" applyAlignment="1"/>
    <xf numFmtId="0" fontId="1" fillId="0" borderId="26" xfId="4" applyFont="1" applyBorder="1"/>
    <xf numFmtId="0" fontId="1" fillId="0" borderId="27" xfId="4" applyFont="1" applyBorder="1"/>
    <xf numFmtId="167" fontId="1" fillId="5" borderId="22" xfId="4" applyNumberFormat="1" applyFont="1" applyFill="1" applyBorder="1" applyAlignment="1">
      <alignment horizontal="center"/>
    </xf>
    <xf numFmtId="9" fontId="1" fillId="0" borderId="12" xfId="5" applyFont="1" applyBorder="1" applyAlignment="1">
      <alignment horizontal="center"/>
    </xf>
    <xf numFmtId="165" fontId="1" fillId="0" borderId="12" xfId="5" applyNumberFormat="1" applyFont="1" applyBorder="1" applyAlignment="1">
      <alignment horizontal="center"/>
    </xf>
    <xf numFmtId="9" fontId="1" fillId="0" borderId="12" xfId="3" applyFont="1" applyBorder="1"/>
    <xf numFmtId="164" fontId="1" fillId="5" borderId="22" xfId="4" applyNumberFormat="1" applyFont="1" applyFill="1" applyBorder="1" applyAlignment="1">
      <alignment horizontal="center"/>
    </xf>
    <xf numFmtId="2" fontId="1" fillId="0" borderId="12" xfId="4" applyNumberFormat="1" applyFont="1" applyBorder="1" applyAlignment="1">
      <alignment horizontal="center"/>
    </xf>
    <xf numFmtId="0" fontId="1" fillId="0" borderId="0" xfId="3" quotePrefix="1" applyNumberFormat="1" applyFont="1"/>
    <xf numFmtId="0" fontId="1" fillId="0" borderId="0" xfId="3" applyNumberFormat="1" applyFont="1"/>
    <xf numFmtId="2" fontId="1" fillId="0" borderId="0" xfId="3" applyNumberFormat="1" applyFont="1"/>
    <xf numFmtId="0" fontId="1" fillId="0" borderId="12" xfId="4" applyFont="1" applyBorder="1" applyAlignment="1">
      <alignment horizontal="center"/>
    </xf>
    <xf numFmtId="15" fontId="1" fillId="0" borderId="12" xfId="4" applyNumberFormat="1" applyFont="1" applyBorder="1"/>
    <xf numFmtId="0" fontId="1" fillId="0" borderId="18" xfId="4" applyFont="1" applyBorder="1"/>
    <xf numFmtId="0" fontId="1" fillId="0" borderId="0" xfId="4" applyFont="1" applyAlignment="1">
      <alignment horizontal="center"/>
    </xf>
    <xf numFmtId="0" fontId="1" fillId="0" borderId="25" xfId="4" applyFont="1" applyBorder="1"/>
    <xf numFmtId="166" fontId="1" fillId="0" borderId="12" xfId="4" applyNumberFormat="1" applyFont="1" applyBorder="1"/>
    <xf numFmtId="164" fontId="1" fillId="19" borderId="12" xfId="4" applyNumberFormat="1" applyFont="1" applyFill="1" applyBorder="1" applyAlignment="1">
      <alignment horizontal="center"/>
    </xf>
    <xf numFmtId="2" fontId="1" fillId="20" borderId="12" xfId="4" applyNumberFormat="1" applyFont="1" applyFill="1" applyBorder="1" applyAlignment="1">
      <alignment horizontal="center"/>
    </xf>
    <xf numFmtId="0" fontId="1" fillId="0" borderId="22" xfId="4" applyFont="1" applyBorder="1"/>
    <xf numFmtId="0" fontId="1" fillId="0" borderId="14" xfId="4" applyFont="1" applyBorder="1"/>
    <xf numFmtId="2" fontId="1" fillId="0" borderId="12" xfId="4" applyNumberFormat="1" applyFont="1" applyBorder="1"/>
    <xf numFmtId="0" fontId="1" fillId="8" borderId="0" xfId="4" applyFont="1" applyFill="1"/>
    <xf numFmtId="0" fontId="1" fillId="10" borderId="0" xfId="4" applyFont="1" applyFill="1"/>
    <xf numFmtId="0" fontId="1" fillId="8" borderId="0" xfId="4" applyFont="1" applyFill="1" applyAlignment="1">
      <alignment horizontal="center"/>
    </xf>
    <xf numFmtId="0" fontId="1" fillId="10" borderId="0" xfId="4" applyFont="1" applyFill="1" applyAlignment="1">
      <alignment horizontal="center"/>
    </xf>
    <xf numFmtId="0" fontId="1" fillId="9" borderId="0" xfId="4" applyFont="1" applyFill="1" applyAlignment="1">
      <alignment horizontal="center"/>
    </xf>
    <xf numFmtId="0" fontId="0" fillId="8" borderId="15" xfId="0" applyFill="1" applyBorder="1" applyAlignment="1" applyProtection="1">
      <alignment horizontal="center"/>
      <protection locked="0"/>
    </xf>
    <xf numFmtId="0" fontId="0" fillId="8" borderId="17" xfId="0" applyFill="1" applyBorder="1" applyAlignment="1" applyProtection="1">
      <alignment horizontal="center"/>
      <protection locked="0"/>
    </xf>
    <xf numFmtId="0" fontId="4" fillId="8" borderId="15" xfId="0" applyFont="1" applyFill="1" applyBorder="1" applyAlignment="1" applyProtection="1">
      <alignment horizontal="center"/>
      <protection locked="0"/>
    </xf>
    <xf numFmtId="0" fontId="4" fillId="8" borderId="16" xfId="0" applyFont="1" applyFill="1" applyBorder="1" applyAlignment="1" applyProtection="1">
      <alignment horizontal="center"/>
      <protection locked="0"/>
    </xf>
    <xf numFmtId="0" fontId="4" fillId="8" borderId="17" xfId="0" applyFont="1" applyFill="1" applyBorder="1" applyAlignment="1" applyProtection="1">
      <alignment horizontal="center"/>
      <protection locked="0"/>
    </xf>
    <xf numFmtId="0" fontId="30" fillId="8" borderId="15" xfId="0" applyFont="1" applyFill="1" applyBorder="1" applyAlignment="1" applyProtection="1">
      <alignment horizontal="center"/>
      <protection locked="0"/>
    </xf>
    <xf numFmtId="0" fontId="30" fillId="8" borderId="17" xfId="0" applyFont="1" applyFill="1" applyBorder="1" applyAlignment="1" applyProtection="1">
      <alignment horizontal="center"/>
      <protection locked="0"/>
    </xf>
    <xf numFmtId="0" fontId="29" fillId="0" borderId="33" xfId="0" applyFont="1" applyBorder="1" applyAlignment="1">
      <alignment horizontal="left" vertical="center"/>
    </xf>
    <xf numFmtId="0" fontId="29" fillId="0" borderId="11" xfId="0" applyFont="1" applyBorder="1" applyAlignment="1">
      <alignment horizontal="left" vertical="center"/>
    </xf>
    <xf numFmtId="0" fontId="4" fillId="8" borderId="9" xfId="0" applyFont="1" applyFill="1" applyBorder="1" applyAlignment="1" applyProtection="1">
      <alignment horizontal="center"/>
      <protection locked="0"/>
    </xf>
    <xf numFmtId="0" fontId="4" fillId="8" borderId="6" xfId="0" applyFont="1" applyFill="1" applyBorder="1" applyAlignment="1" applyProtection="1">
      <alignment horizontal="center"/>
      <protection locked="0"/>
    </xf>
    <xf numFmtId="0" fontId="11" fillId="6" borderId="7" xfId="0" applyFont="1" applyFill="1" applyBorder="1" applyAlignment="1">
      <alignment horizontal="left"/>
    </xf>
    <xf numFmtId="0" fontId="11" fillId="6" borderId="8" xfId="0" applyFont="1" applyFill="1" applyBorder="1" applyAlignment="1">
      <alignment horizontal="left"/>
    </xf>
    <xf numFmtId="0" fontId="11" fillId="6" borderId="2" xfId="0" applyFont="1" applyFill="1" applyBorder="1" applyAlignment="1">
      <alignment horizontal="left"/>
    </xf>
    <xf numFmtId="0" fontId="11" fillId="6" borderId="3" xfId="0" applyFont="1" applyFill="1" applyBorder="1" applyAlignment="1">
      <alignment horizontal="left"/>
    </xf>
    <xf numFmtId="0" fontId="11" fillId="6" borderId="0" xfId="0" applyFont="1" applyFill="1" applyAlignment="1">
      <alignment horizontal="left"/>
    </xf>
    <xf numFmtId="0" fontId="11" fillId="6" borderId="4" xfId="0" applyFont="1" applyFill="1" applyBorder="1" applyAlignment="1">
      <alignment horizontal="left"/>
    </xf>
    <xf numFmtId="0" fontId="4" fillId="21" borderId="15" xfId="0" applyFont="1" applyFill="1" applyBorder="1" applyAlignment="1">
      <alignment horizontal="center"/>
    </xf>
    <xf numFmtId="0" fontId="4" fillId="21" borderId="17" xfId="0" applyFont="1" applyFill="1" applyBorder="1" applyAlignment="1">
      <alignment horizontal="center"/>
    </xf>
    <xf numFmtId="0" fontId="11" fillId="6" borderId="5" xfId="0" applyFont="1" applyFill="1" applyBorder="1" applyAlignment="1">
      <alignment horizontal="left"/>
    </xf>
    <xf numFmtId="0" fontId="11" fillId="6" borderId="9" xfId="0" applyFont="1" applyFill="1" applyBorder="1" applyAlignment="1">
      <alignment horizontal="left"/>
    </xf>
    <xf numFmtId="0" fontId="11" fillId="6" borderId="6" xfId="0" applyFont="1" applyFill="1" applyBorder="1" applyAlignment="1">
      <alignment horizontal="left"/>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0" fillId="0" borderId="22" xfId="0" applyBorder="1" applyAlignment="1">
      <alignment horizontal="center"/>
    </xf>
    <xf numFmtId="0" fontId="0" fillId="0" borderId="19" xfId="0" applyBorder="1" applyAlignment="1">
      <alignment horizontal="center"/>
    </xf>
    <xf numFmtId="0" fontId="4" fillId="14" borderId="12" xfId="0" applyFont="1" applyFill="1" applyBorder="1" applyAlignment="1">
      <alignment horizontal="center"/>
    </xf>
    <xf numFmtId="0" fontId="0" fillId="14" borderId="12" xfId="0" applyFill="1" applyBorder="1" applyAlignment="1">
      <alignment horizontal="center"/>
    </xf>
    <xf numFmtId="0" fontId="4" fillId="12" borderId="12" xfId="0" applyFont="1" applyFill="1" applyBorder="1" applyAlignment="1">
      <alignment horizontal="center"/>
    </xf>
    <xf numFmtId="0" fontId="0" fillId="12" borderId="12" xfId="0" applyFill="1" applyBorder="1" applyAlignment="1">
      <alignment horizontal="center"/>
    </xf>
    <xf numFmtId="0" fontId="16" fillId="0" borderId="31" xfId="4" applyFont="1" applyBorder="1" applyAlignment="1">
      <alignment horizontal="center"/>
    </xf>
    <xf numFmtId="0" fontId="16" fillId="0" borderId="23" xfId="4" applyFont="1" applyBorder="1" applyAlignment="1">
      <alignment horizontal="center"/>
    </xf>
    <xf numFmtId="0" fontId="16" fillId="0" borderId="19" xfId="4" applyFont="1" applyBorder="1" applyAlignment="1">
      <alignment horizontal="center"/>
    </xf>
    <xf numFmtId="0" fontId="16" fillId="0" borderId="12" xfId="4" applyFont="1" applyBorder="1" applyAlignment="1">
      <alignment horizontal="center"/>
    </xf>
    <xf numFmtId="0" fontId="16" fillId="0" borderId="8" xfId="4" applyFont="1" applyBorder="1" applyAlignment="1">
      <alignment horizontal="center"/>
    </xf>
    <xf numFmtId="0" fontId="3" fillId="0" borderId="8" xfId="4" applyBorder="1" applyAlignment="1">
      <alignment horizontal="center"/>
    </xf>
    <xf numFmtId="0" fontId="1" fillId="0" borderId="8" xfId="4" applyFont="1" applyBorder="1" applyAlignment="1">
      <alignment horizontal="center"/>
    </xf>
    <xf numFmtId="0" fontId="21" fillId="8" borderId="0" xfId="8" applyFont="1" applyFill="1" applyAlignment="1">
      <alignment horizontal="left" wrapText="1"/>
    </xf>
    <xf numFmtId="0" fontId="16" fillId="0" borderId="31" xfId="8" applyFont="1" applyBorder="1" applyAlignment="1">
      <alignment horizontal="center"/>
    </xf>
    <xf numFmtId="0" fontId="16" fillId="0" borderId="23" xfId="8" applyFont="1" applyBorder="1" applyAlignment="1">
      <alignment horizontal="center"/>
    </xf>
    <xf numFmtId="0" fontId="16" fillId="0" borderId="19" xfId="8" applyFont="1" applyBorder="1" applyAlignment="1">
      <alignment horizontal="center"/>
    </xf>
    <xf numFmtId="0" fontId="16" fillId="0" borderId="13" xfId="8" applyFont="1" applyBorder="1" applyAlignment="1">
      <alignment horizontal="center"/>
    </xf>
    <xf numFmtId="0" fontId="16" fillId="0" borderId="20" xfId="8" applyFont="1" applyBorder="1" applyAlignment="1">
      <alignment horizontal="center"/>
    </xf>
    <xf numFmtId="0" fontId="16" fillId="0" borderId="8" xfId="8" applyFont="1" applyBorder="1" applyAlignment="1">
      <alignment horizontal="center"/>
    </xf>
    <xf numFmtId="0" fontId="0" fillId="0" borderId="8" xfId="8" applyFont="1" applyBorder="1" applyAlignment="1">
      <alignment horizontal="center"/>
    </xf>
    <xf numFmtId="0" fontId="16" fillId="0" borderId="22" xfId="8" applyFont="1" applyBorder="1" applyAlignment="1">
      <alignment horizontal="center"/>
    </xf>
    <xf numFmtId="0" fontId="1" fillId="0" borderId="8" xfId="8" applyBorder="1" applyAlignment="1">
      <alignment horizontal="center"/>
    </xf>
  </cellXfs>
  <cellStyles count="12">
    <cellStyle name="Explanatory Text" xfId="7" builtinId="53"/>
    <cellStyle name="Followed Hyperlink" xfId="1" builtinId="9"/>
    <cellStyle name="Hyperlink" xfId="2" builtinId="8"/>
    <cellStyle name="Input" xfId="6" builtinId="20"/>
    <cellStyle name="Normal" xfId="0" builtinId="0"/>
    <cellStyle name="Normal 2" xfId="4" xr:uid="{00000000-0005-0000-0000-000003000000}"/>
    <cellStyle name="Normal 2 2" xfId="8" xr:uid="{8FE2B3E4-2F48-4631-A201-55780727A407}"/>
    <cellStyle name="Normal 3" xfId="11" xr:uid="{5AE2495E-9205-4337-925D-165340E0ECBE}"/>
    <cellStyle name="Percent" xfId="3" builtinId="5"/>
    <cellStyle name="Percent 2" xfId="5" xr:uid="{00000000-0005-0000-0000-000005000000}"/>
    <cellStyle name="Percent 2 2" xfId="9" xr:uid="{DEDF2341-F8D4-4A5E-8959-335126D02F3C}"/>
    <cellStyle name="Percent 3" xfId="10" xr:uid="{69BCE2F2-2A04-4502-835D-BF6286F824B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2.xml"/><Relationship Id="rId18" Type="http://schemas.openxmlformats.org/officeDocument/2006/relationships/worksheet" Target="worksheets/sheet16.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chartsheet" Target="chartsheets/sheet4.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worksheet" Target="worksheets/sheet15.xml"/><Relationship Id="rId25" Type="http://schemas.openxmlformats.org/officeDocument/2006/relationships/externalLink" Target="externalLinks/externalLink1.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4.xml"/><Relationship Id="rId20" Type="http://schemas.openxmlformats.org/officeDocument/2006/relationships/chartsheet" Target="chartsheets/sheet3.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9.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worksheet" Target="worksheets/sheet18.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7.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2.xml"/><Relationship Id="rId22" Type="http://schemas.openxmlformats.org/officeDocument/2006/relationships/chartsheet" Target="chartsheets/sheet5.xml"/><Relationship Id="rId27" Type="http://schemas.openxmlformats.org/officeDocument/2006/relationships/externalLink" Target="externalLinks/externalLink3.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comet</a:t>
            </a:r>
            <a:r>
              <a:rPr lang="en-US" baseline="0"/>
              <a:t> 100 pump curve model</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'CalData-FUS'!$T$37:$T$38</c:f>
              <c:numCache>
                <c:formatCode>General</c:formatCode>
                <c:ptCount val="2"/>
                <c:pt idx="0">
                  <c:v>0</c:v>
                </c:pt>
                <c:pt idx="1">
                  <c:v>1000</c:v>
                </c:pt>
              </c:numCache>
            </c:numRef>
          </c:xVal>
          <c:yVal>
            <c:numRef>
              <c:f>'CalData-FUS'!$U$37:$U$38</c:f>
              <c:numCache>
                <c:formatCode>General</c:formatCode>
                <c:ptCount val="2"/>
                <c:pt idx="0">
                  <c:v>1980</c:v>
                </c:pt>
                <c:pt idx="1">
                  <c:v>1304.2</c:v>
                </c:pt>
              </c:numCache>
            </c:numRef>
          </c:yVal>
          <c:smooth val="0"/>
          <c:extLst>
            <c:ext xmlns:c16="http://schemas.microsoft.com/office/drawing/2014/chart" uri="{C3380CC4-5D6E-409C-BE32-E72D297353CC}">
              <c16:uniqueId val="{00000000-8ED3-41BF-8263-4303C9A521C6}"/>
            </c:ext>
          </c:extLst>
        </c:ser>
        <c:dLbls>
          <c:dLblPos val="t"/>
          <c:showLegendKey val="0"/>
          <c:showVal val="1"/>
          <c:showCatName val="0"/>
          <c:showSerName val="0"/>
          <c:showPercent val="0"/>
          <c:showBubbleSize val="0"/>
        </c:dLbls>
        <c:axId val="759182888"/>
        <c:axId val="759181904"/>
      </c:scatterChart>
      <c:valAx>
        <c:axId val="7591828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pressure (psi)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181904"/>
        <c:crosses val="autoZero"/>
        <c:crossBetween val="midCat"/>
      </c:valAx>
      <c:valAx>
        <c:axId val="759181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rate (l/d)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18288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Comet2 500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'COMET2_HP-DH500'!$B$46</c:f>
              <c:strCache>
                <c:ptCount val="1"/>
                <c:pt idx="0">
                  <c:v>1000</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2.9306221152276109E-2"/>
                  <c:y val="-0.2633730336368373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trendline>
            <c:spPr>
              <a:ln w="19050" cap="rnd">
                <a:solidFill>
                  <a:schemeClr val="accent1"/>
                </a:solidFill>
                <a:prstDash val="sysDot"/>
              </a:ln>
              <a:effectLst/>
            </c:spPr>
            <c:trendlineType val="linear"/>
            <c:dispRSqr val="0"/>
            <c:dispEq val="0"/>
          </c:trendline>
          <c:xVal>
            <c:numRef>
              <c:f>'COMET2_HP-DH500'!$A$46:$A$51</c:f>
              <c:numCache>
                <c:formatCode>General</c:formatCode>
                <c:ptCount val="6"/>
                <c:pt idx="0">
                  <c:v>0</c:v>
                </c:pt>
                <c:pt idx="1">
                  <c:v>500</c:v>
                </c:pt>
                <c:pt idx="2">
                  <c:v>1000</c:v>
                </c:pt>
                <c:pt idx="3">
                  <c:v>3000</c:v>
                </c:pt>
                <c:pt idx="4">
                  <c:v>4000</c:v>
                </c:pt>
                <c:pt idx="5">
                  <c:v>5000</c:v>
                </c:pt>
              </c:numCache>
            </c:numRef>
          </c:xVal>
          <c:yVal>
            <c:numRef>
              <c:f>'COMET2_HP-DH500'!$I$46:$I$51</c:f>
              <c:numCache>
                <c:formatCode>0.00</c:formatCode>
                <c:ptCount val="6"/>
                <c:pt idx="0">
                  <c:v>468</c:v>
                </c:pt>
                <c:pt idx="1">
                  <c:v>420</c:v>
                </c:pt>
                <c:pt idx="2">
                  <c:v>372</c:v>
                </c:pt>
                <c:pt idx="3">
                  <c:v>294</c:v>
                </c:pt>
                <c:pt idx="4">
                  <c:v>240</c:v>
                </c:pt>
                <c:pt idx="5">
                  <c:v>212</c:v>
                </c:pt>
              </c:numCache>
            </c:numRef>
          </c:yVal>
          <c:smooth val="0"/>
          <c:extLst>
            <c:ext xmlns:c16="http://schemas.microsoft.com/office/drawing/2014/chart" uri="{C3380CC4-5D6E-409C-BE32-E72D297353CC}">
              <c16:uniqueId val="{00000001-B76D-4896-8EF1-4661834F50D4}"/>
            </c:ext>
          </c:extLst>
        </c:ser>
        <c:ser>
          <c:idx val="1"/>
          <c:order val="1"/>
          <c:tx>
            <c:strRef>
              <c:f>'COMET2_HP-DH500'!$B$39</c:f>
              <c:strCache>
                <c:ptCount val="1"/>
                <c:pt idx="0">
                  <c:v>800</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0"/>
            <c:dispEq val="0"/>
          </c:trendline>
          <c:xVal>
            <c:numRef>
              <c:f>'COMET2_HP-DH500'!$A$39:$A$44</c:f>
              <c:numCache>
                <c:formatCode>General</c:formatCode>
                <c:ptCount val="6"/>
                <c:pt idx="0">
                  <c:v>0</c:v>
                </c:pt>
                <c:pt idx="1">
                  <c:v>500</c:v>
                </c:pt>
                <c:pt idx="2">
                  <c:v>1000</c:v>
                </c:pt>
                <c:pt idx="3">
                  <c:v>3000</c:v>
                </c:pt>
                <c:pt idx="4">
                  <c:v>4000</c:v>
                </c:pt>
                <c:pt idx="5">
                  <c:v>5000</c:v>
                </c:pt>
              </c:numCache>
            </c:numRef>
          </c:xVal>
          <c:yVal>
            <c:numRef>
              <c:f>'COMET2_HP-DH500'!$I$39:$I$44</c:f>
              <c:numCache>
                <c:formatCode>0.00</c:formatCode>
                <c:ptCount val="6"/>
                <c:pt idx="0">
                  <c:v>372</c:v>
                </c:pt>
                <c:pt idx="1">
                  <c:v>336</c:v>
                </c:pt>
                <c:pt idx="2">
                  <c:v>308</c:v>
                </c:pt>
                <c:pt idx="3">
                  <c:v>236</c:v>
                </c:pt>
                <c:pt idx="4">
                  <c:v>200</c:v>
                </c:pt>
                <c:pt idx="5">
                  <c:v>168</c:v>
                </c:pt>
              </c:numCache>
            </c:numRef>
          </c:yVal>
          <c:smooth val="0"/>
          <c:extLst>
            <c:ext xmlns:c16="http://schemas.microsoft.com/office/drawing/2014/chart" uri="{C3380CC4-5D6E-409C-BE32-E72D297353CC}">
              <c16:uniqueId val="{00000003-B76D-4896-8EF1-4661834F50D4}"/>
            </c:ext>
          </c:extLst>
        </c:ser>
        <c:ser>
          <c:idx val="2"/>
          <c:order val="2"/>
          <c:tx>
            <c:strRef>
              <c:f>'COMET2_HP-DH500'!$B$32</c:f>
              <c:strCache>
                <c:ptCount val="1"/>
                <c:pt idx="0">
                  <c:v>600</c:v>
                </c:pt>
              </c:strCache>
            </c:strRef>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0"/>
            <c:dispEq val="0"/>
          </c:trendline>
          <c:xVal>
            <c:numRef>
              <c:f>'COMET2_HP-DH500'!$A$32:$A$37</c:f>
              <c:numCache>
                <c:formatCode>General</c:formatCode>
                <c:ptCount val="6"/>
                <c:pt idx="0">
                  <c:v>0</c:v>
                </c:pt>
                <c:pt idx="1">
                  <c:v>500</c:v>
                </c:pt>
                <c:pt idx="2">
                  <c:v>1000</c:v>
                </c:pt>
                <c:pt idx="3">
                  <c:v>3000</c:v>
                </c:pt>
                <c:pt idx="4">
                  <c:v>4000</c:v>
                </c:pt>
                <c:pt idx="5">
                  <c:v>5000</c:v>
                </c:pt>
              </c:numCache>
            </c:numRef>
          </c:xVal>
          <c:yVal>
            <c:numRef>
              <c:f>'COMET2_HP-DH500'!$I$32:$I$37</c:f>
              <c:numCache>
                <c:formatCode>0.00</c:formatCode>
                <c:ptCount val="6"/>
                <c:pt idx="0">
                  <c:v>276</c:v>
                </c:pt>
                <c:pt idx="1">
                  <c:v>256</c:v>
                </c:pt>
                <c:pt idx="2">
                  <c:v>240</c:v>
                </c:pt>
                <c:pt idx="3">
                  <c:v>184</c:v>
                </c:pt>
                <c:pt idx="4">
                  <c:v>152</c:v>
                </c:pt>
                <c:pt idx="5">
                  <c:v>146</c:v>
                </c:pt>
              </c:numCache>
            </c:numRef>
          </c:yVal>
          <c:smooth val="0"/>
          <c:extLst>
            <c:ext xmlns:c16="http://schemas.microsoft.com/office/drawing/2014/chart" uri="{C3380CC4-5D6E-409C-BE32-E72D297353CC}">
              <c16:uniqueId val="{00000005-B76D-4896-8EF1-4661834F50D4}"/>
            </c:ext>
          </c:extLst>
        </c:ser>
        <c:ser>
          <c:idx val="3"/>
          <c:order val="3"/>
          <c:tx>
            <c:strRef>
              <c:f>'COMET2_HP-DH500'!$B$25</c:f>
              <c:strCache>
                <c:ptCount val="1"/>
                <c:pt idx="0">
                  <c:v>400</c:v>
                </c:pt>
              </c:strCache>
            </c:strRef>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ly"/>
            <c:order val="2"/>
            <c:dispRSqr val="0"/>
            <c:dispEq val="0"/>
          </c:trendline>
          <c:xVal>
            <c:numRef>
              <c:f>'COMET2_HP-DH500'!$A$25:$A$30</c:f>
              <c:numCache>
                <c:formatCode>General</c:formatCode>
                <c:ptCount val="6"/>
                <c:pt idx="0">
                  <c:v>0</c:v>
                </c:pt>
                <c:pt idx="1">
                  <c:v>500</c:v>
                </c:pt>
                <c:pt idx="2">
                  <c:v>1000</c:v>
                </c:pt>
                <c:pt idx="3">
                  <c:v>3000</c:v>
                </c:pt>
                <c:pt idx="4">
                  <c:v>4000</c:v>
                </c:pt>
                <c:pt idx="5">
                  <c:v>5000</c:v>
                </c:pt>
              </c:numCache>
            </c:numRef>
          </c:xVal>
          <c:yVal>
            <c:numRef>
              <c:f>'COMET2_HP-DH500'!$I$25:$I$30</c:f>
              <c:numCache>
                <c:formatCode>0.00</c:formatCode>
                <c:ptCount val="6"/>
                <c:pt idx="0">
                  <c:v>176</c:v>
                </c:pt>
                <c:pt idx="1">
                  <c:v>156</c:v>
                </c:pt>
                <c:pt idx="2">
                  <c:v>148</c:v>
                </c:pt>
                <c:pt idx="3">
                  <c:v>116</c:v>
                </c:pt>
                <c:pt idx="4">
                  <c:v>102.27272727272727</c:v>
                </c:pt>
                <c:pt idx="5">
                  <c:v>96</c:v>
                </c:pt>
              </c:numCache>
            </c:numRef>
          </c:yVal>
          <c:smooth val="0"/>
          <c:extLst>
            <c:ext xmlns:c16="http://schemas.microsoft.com/office/drawing/2014/chart" uri="{C3380CC4-5D6E-409C-BE32-E72D297353CC}">
              <c16:uniqueId val="{00000007-B76D-4896-8EF1-4661834F50D4}"/>
            </c:ext>
          </c:extLst>
        </c:ser>
        <c:ser>
          <c:idx val="4"/>
          <c:order val="4"/>
          <c:tx>
            <c:strRef>
              <c:f>'COMET2_HP-DH500'!$B$18</c:f>
              <c:strCache>
                <c:ptCount val="1"/>
                <c:pt idx="0">
                  <c:v>200</c:v>
                </c:pt>
              </c:strCache>
            </c:strRef>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wer"/>
            <c:dispRSqr val="0"/>
            <c:dispEq val="0"/>
          </c:trendline>
          <c:trendline>
            <c:spPr>
              <a:ln w="19050" cap="rnd">
                <a:solidFill>
                  <a:schemeClr val="accent5"/>
                </a:solidFill>
                <a:prstDash val="sysDot"/>
              </a:ln>
              <a:effectLst/>
            </c:spPr>
            <c:trendlineType val="poly"/>
            <c:order val="2"/>
            <c:dispRSqr val="0"/>
            <c:dispEq val="0"/>
          </c:trendline>
          <c:xVal>
            <c:numRef>
              <c:f>'COMET2_HP-DH500'!$A$18:$A$23</c:f>
              <c:numCache>
                <c:formatCode>General</c:formatCode>
                <c:ptCount val="6"/>
                <c:pt idx="0">
                  <c:v>0</c:v>
                </c:pt>
                <c:pt idx="1">
                  <c:v>500</c:v>
                </c:pt>
                <c:pt idx="2">
                  <c:v>1000</c:v>
                </c:pt>
                <c:pt idx="3">
                  <c:v>3000</c:v>
                </c:pt>
                <c:pt idx="4">
                  <c:v>4000</c:v>
                </c:pt>
                <c:pt idx="5">
                  <c:v>5000</c:v>
                </c:pt>
              </c:numCache>
            </c:numRef>
          </c:xVal>
          <c:yVal>
            <c:numRef>
              <c:f>'COMET2_HP-DH500'!$P$18:$P$23</c:f>
              <c:numCache>
                <c:formatCode>0.00</c:formatCode>
                <c:ptCount val="6"/>
              </c:numCache>
            </c:numRef>
          </c:yVal>
          <c:smooth val="0"/>
          <c:extLst>
            <c:ext xmlns:c16="http://schemas.microsoft.com/office/drawing/2014/chart" uri="{C3380CC4-5D6E-409C-BE32-E72D297353CC}">
              <c16:uniqueId val="{0000000A-B76D-4896-8EF1-4661834F50D4}"/>
            </c:ext>
          </c:extLst>
        </c:ser>
        <c:ser>
          <c:idx val="5"/>
          <c:order val="5"/>
          <c:tx>
            <c:strRef>
              <c:f>'COMET2_HP-DH500'!$B$11</c:f>
              <c:strCache>
                <c:ptCount val="1"/>
                <c:pt idx="0">
                  <c:v>100</c:v>
                </c:pt>
              </c:strCache>
            </c:strRef>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0"/>
            <c:dispEq val="0"/>
          </c:trendline>
          <c:xVal>
            <c:numRef>
              <c:f>'COMET2_HP-DH500'!$A$11:$A$16</c:f>
              <c:numCache>
                <c:formatCode>General</c:formatCode>
                <c:ptCount val="6"/>
                <c:pt idx="0">
                  <c:v>0</c:v>
                </c:pt>
                <c:pt idx="1">
                  <c:v>500</c:v>
                </c:pt>
                <c:pt idx="2">
                  <c:v>1000</c:v>
                </c:pt>
                <c:pt idx="3">
                  <c:v>3000</c:v>
                </c:pt>
                <c:pt idx="4">
                  <c:v>4000</c:v>
                </c:pt>
                <c:pt idx="5">
                  <c:v>5000</c:v>
                </c:pt>
              </c:numCache>
            </c:numRef>
          </c:xVal>
          <c:yVal>
            <c:numRef>
              <c:f>'COMET2_HP-DH500'!$P$11:$P$16</c:f>
              <c:numCache>
                <c:formatCode>0.00</c:formatCode>
                <c:ptCount val="6"/>
              </c:numCache>
            </c:numRef>
          </c:yVal>
          <c:smooth val="0"/>
          <c:extLst>
            <c:ext xmlns:c16="http://schemas.microsoft.com/office/drawing/2014/chart" uri="{C3380CC4-5D6E-409C-BE32-E72D297353CC}">
              <c16:uniqueId val="{0000000C-B76D-4896-8EF1-4661834F50D4}"/>
            </c:ext>
          </c:extLst>
        </c:ser>
        <c:dLbls>
          <c:showLegendKey val="0"/>
          <c:showVal val="0"/>
          <c:showCatName val="0"/>
          <c:showSerName val="0"/>
          <c:showPercent val="0"/>
          <c:showBubbleSize val="0"/>
        </c:dLbls>
        <c:axId val="705849336"/>
        <c:axId val="705839168"/>
      </c:scatterChart>
      <c:valAx>
        <c:axId val="7058493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Pressure (psi)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39168"/>
        <c:crosses val="autoZero"/>
        <c:crossBetween val="midCat"/>
        <c:majorUnit val="100"/>
      </c:valAx>
      <c:valAx>
        <c:axId val="705839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rate</a:t>
                </a:r>
                <a:r>
                  <a:rPr lang="en-US" baseline="0"/>
                  <a:t> (L/d)</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493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Comet2 100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'DH -COMET_100'!$B$46</c:f>
              <c:strCache>
                <c:ptCount val="1"/>
                <c:pt idx="0">
                  <c:v>1000</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'DH -COMET_100'!$A$46:$A$51</c:f>
              <c:numCache>
                <c:formatCode>General</c:formatCode>
                <c:ptCount val="6"/>
                <c:pt idx="0">
                  <c:v>0</c:v>
                </c:pt>
                <c:pt idx="1">
                  <c:v>100</c:v>
                </c:pt>
                <c:pt idx="2">
                  <c:v>250</c:v>
                </c:pt>
                <c:pt idx="3">
                  <c:v>500</c:v>
                </c:pt>
                <c:pt idx="4">
                  <c:v>750</c:v>
                </c:pt>
                <c:pt idx="5">
                  <c:v>1000</c:v>
                </c:pt>
              </c:numCache>
            </c:numRef>
          </c:xVal>
          <c:yVal>
            <c:numRef>
              <c:f>'DH -COMET_100'!$I$46:$I$51</c:f>
              <c:numCache>
                <c:formatCode>0.00</c:formatCode>
                <c:ptCount val="6"/>
                <c:pt idx="0">
                  <c:v>2042.5531914893618</c:v>
                </c:pt>
                <c:pt idx="1">
                  <c:v>1875</c:v>
                </c:pt>
                <c:pt idx="2">
                  <c:v>1759.5307917888563</c:v>
                </c:pt>
                <c:pt idx="3">
                  <c:v>1668.1146828844485</c:v>
                </c:pt>
                <c:pt idx="4">
                  <c:v>1462.9686071319718</c:v>
                </c:pt>
                <c:pt idx="5">
                  <c:v>1315.9698423577793</c:v>
                </c:pt>
              </c:numCache>
            </c:numRef>
          </c:yVal>
          <c:smooth val="0"/>
          <c:extLst>
            <c:ext xmlns:c16="http://schemas.microsoft.com/office/drawing/2014/chart" uri="{C3380CC4-5D6E-409C-BE32-E72D297353CC}">
              <c16:uniqueId val="{00000000-EACF-44EB-9EA1-1C515F46BB98}"/>
            </c:ext>
          </c:extLst>
        </c:ser>
        <c:ser>
          <c:idx val="1"/>
          <c:order val="1"/>
          <c:tx>
            <c:strRef>
              <c:f>'DH -COMET_100'!$B$39</c:f>
              <c:strCache>
                <c:ptCount val="1"/>
                <c:pt idx="0">
                  <c:v>800</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0"/>
            <c:dispEq val="0"/>
          </c:trendline>
          <c:xVal>
            <c:numRef>
              <c:f>'DH -COMET_100'!$A$39:$A$44</c:f>
              <c:numCache>
                <c:formatCode>General</c:formatCode>
                <c:ptCount val="6"/>
                <c:pt idx="0">
                  <c:v>0</c:v>
                </c:pt>
                <c:pt idx="1">
                  <c:v>100</c:v>
                </c:pt>
                <c:pt idx="2">
                  <c:v>250</c:v>
                </c:pt>
                <c:pt idx="3">
                  <c:v>500</c:v>
                </c:pt>
                <c:pt idx="4">
                  <c:v>750</c:v>
                </c:pt>
                <c:pt idx="5">
                  <c:v>1000</c:v>
                </c:pt>
              </c:numCache>
            </c:numRef>
          </c:xVal>
          <c:yVal>
            <c:numRef>
              <c:f>'DH -COMET_100'!$I$39:$I$44</c:f>
              <c:numCache>
                <c:formatCode>0.00</c:formatCode>
                <c:ptCount val="6"/>
                <c:pt idx="0">
                  <c:v>1593.0485155684287</c:v>
                </c:pt>
                <c:pt idx="1">
                  <c:v>1465.0388457269701</c:v>
                </c:pt>
                <c:pt idx="2">
                  <c:v>1365.3289201489449</c:v>
                </c:pt>
                <c:pt idx="3">
                  <c:v>1271.431323444423</c:v>
                </c:pt>
                <c:pt idx="4">
                  <c:v>1156.0693641618495</c:v>
                </c:pt>
                <c:pt idx="5">
                  <c:v>1024.5265445513814</c:v>
                </c:pt>
              </c:numCache>
            </c:numRef>
          </c:yVal>
          <c:smooth val="0"/>
          <c:extLst>
            <c:ext xmlns:c16="http://schemas.microsoft.com/office/drawing/2014/chart" uri="{C3380CC4-5D6E-409C-BE32-E72D297353CC}">
              <c16:uniqueId val="{00000003-55A9-483F-84E1-2B74A753D921}"/>
            </c:ext>
          </c:extLst>
        </c:ser>
        <c:ser>
          <c:idx val="2"/>
          <c:order val="2"/>
          <c:tx>
            <c:strRef>
              <c:f>'DH -COMET_100'!$B$32</c:f>
              <c:strCache>
                <c:ptCount val="1"/>
                <c:pt idx="0">
                  <c:v>600</c:v>
                </c:pt>
              </c:strCache>
            </c:strRef>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0"/>
            <c:dispEq val="0"/>
          </c:trendline>
          <c:xVal>
            <c:numRef>
              <c:f>'DH -COMET_100'!$A$32:$A$37</c:f>
              <c:numCache>
                <c:formatCode>General</c:formatCode>
                <c:ptCount val="6"/>
                <c:pt idx="0">
                  <c:v>0</c:v>
                </c:pt>
                <c:pt idx="1">
                  <c:v>100</c:v>
                </c:pt>
                <c:pt idx="2">
                  <c:v>250</c:v>
                </c:pt>
                <c:pt idx="3">
                  <c:v>500</c:v>
                </c:pt>
                <c:pt idx="4">
                  <c:v>750</c:v>
                </c:pt>
                <c:pt idx="5">
                  <c:v>1000</c:v>
                </c:pt>
              </c:numCache>
            </c:numRef>
          </c:xVal>
          <c:yVal>
            <c:numRef>
              <c:f>'DH -COMET_100'!$I$32:$I$37</c:f>
              <c:numCache>
                <c:formatCode>0.00</c:formatCode>
                <c:ptCount val="6"/>
                <c:pt idx="0">
                  <c:v>1165.991902834008</c:v>
                </c:pt>
                <c:pt idx="1">
                  <c:v>1030.3377218088151</c:v>
                </c:pt>
                <c:pt idx="2">
                  <c:v>953.89507154213027</c:v>
                </c:pt>
                <c:pt idx="3">
                  <c:v>893.07864053584717</c:v>
                </c:pt>
                <c:pt idx="4">
                  <c:v>809.17060013486173</c:v>
                </c:pt>
                <c:pt idx="5">
                  <c:v>719.56825904457321</c:v>
                </c:pt>
              </c:numCache>
            </c:numRef>
          </c:yVal>
          <c:smooth val="0"/>
          <c:extLst>
            <c:ext xmlns:c16="http://schemas.microsoft.com/office/drawing/2014/chart" uri="{C3380CC4-5D6E-409C-BE32-E72D297353CC}">
              <c16:uniqueId val="{00000004-55A9-483F-84E1-2B74A753D921}"/>
            </c:ext>
          </c:extLst>
        </c:ser>
        <c:ser>
          <c:idx val="3"/>
          <c:order val="3"/>
          <c:tx>
            <c:strRef>
              <c:f>'DH -COMET_100'!$B$25</c:f>
              <c:strCache>
                <c:ptCount val="1"/>
                <c:pt idx="0">
                  <c:v>400</c:v>
                </c:pt>
              </c:strCache>
            </c:strRef>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ly"/>
            <c:order val="2"/>
            <c:dispRSqr val="0"/>
            <c:dispEq val="0"/>
          </c:trendline>
          <c:xVal>
            <c:numRef>
              <c:f>'DH -COMET_100'!$A$25:$A$30</c:f>
              <c:numCache>
                <c:formatCode>General</c:formatCode>
                <c:ptCount val="6"/>
                <c:pt idx="0">
                  <c:v>0</c:v>
                </c:pt>
                <c:pt idx="1">
                  <c:v>100</c:v>
                </c:pt>
                <c:pt idx="2">
                  <c:v>250</c:v>
                </c:pt>
                <c:pt idx="3">
                  <c:v>500</c:v>
                </c:pt>
                <c:pt idx="4">
                  <c:v>750</c:v>
                </c:pt>
                <c:pt idx="5">
                  <c:v>1000</c:v>
                </c:pt>
              </c:numCache>
            </c:numRef>
          </c:xVal>
          <c:yVal>
            <c:numRef>
              <c:f>'DH -COMET_100'!$I$25:$I$30</c:f>
              <c:numCache>
                <c:formatCode>0.00</c:formatCode>
                <c:ptCount val="6"/>
                <c:pt idx="0">
                  <c:v>723.1093702922567</c:v>
                </c:pt>
                <c:pt idx="1">
                  <c:v>696.8641114982579</c:v>
                </c:pt>
                <c:pt idx="2">
                  <c:v>634.75271092303615</c:v>
                </c:pt>
                <c:pt idx="3">
                  <c:v>541.82187605824583</c:v>
                </c:pt>
                <c:pt idx="4">
                  <c:v>480.33623536475528</c:v>
                </c:pt>
                <c:pt idx="5">
                  <c:v>437.47721472839959</c:v>
                </c:pt>
              </c:numCache>
            </c:numRef>
          </c:yVal>
          <c:smooth val="0"/>
          <c:extLst>
            <c:ext xmlns:c16="http://schemas.microsoft.com/office/drawing/2014/chart" uri="{C3380CC4-5D6E-409C-BE32-E72D297353CC}">
              <c16:uniqueId val="{00000005-55A9-483F-84E1-2B74A753D921}"/>
            </c:ext>
          </c:extLst>
        </c:ser>
        <c:ser>
          <c:idx val="4"/>
          <c:order val="4"/>
          <c:tx>
            <c:strRef>
              <c:f>'DH -COMET_100'!$B$18</c:f>
              <c:strCache>
                <c:ptCount val="1"/>
                <c:pt idx="0">
                  <c:v>200</c:v>
                </c:pt>
              </c:strCache>
            </c:strRef>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wer"/>
            <c:dispRSqr val="0"/>
            <c:dispEq val="0"/>
          </c:trendline>
          <c:trendline>
            <c:spPr>
              <a:ln w="19050" cap="rnd">
                <a:solidFill>
                  <a:schemeClr val="accent5"/>
                </a:solidFill>
                <a:prstDash val="sysDot"/>
              </a:ln>
              <a:effectLst/>
            </c:spPr>
            <c:trendlineType val="poly"/>
            <c:order val="2"/>
            <c:dispRSqr val="0"/>
            <c:dispEq val="0"/>
          </c:trendline>
          <c:xVal>
            <c:numRef>
              <c:f>'DH -COMET_100'!$A$18:$A$23</c:f>
              <c:numCache>
                <c:formatCode>General</c:formatCode>
                <c:ptCount val="6"/>
                <c:pt idx="0">
                  <c:v>0</c:v>
                </c:pt>
                <c:pt idx="1">
                  <c:v>100</c:v>
                </c:pt>
                <c:pt idx="2">
                  <c:v>250</c:v>
                </c:pt>
                <c:pt idx="3">
                  <c:v>500</c:v>
                </c:pt>
                <c:pt idx="4">
                  <c:v>750</c:v>
                </c:pt>
                <c:pt idx="5">
                  <c:v>1000</c:v>
                </c:pt>
              </c:numCache>
            </c:numRef>
          </c:xVal>
          <c:yVal>
            <c:numRef>
              <c:f>'DH -COMET_100'!$P$18:$P$23</c:f>
              <c:numCache>
                <c:formatCode>General</c:formatCode>
                <c:ptCount val="6"/>
                <c:pt idx="0">
                  <c:v>335.4579000335458</c:v>
                </c:pt>
                <c:pt idx="1">
                  <c:v>289.85507246376812</c:v>
                </c:pt>
                <c:pt idx="2">
                  <c:v>270.27027027027026</c:v>
                </c:pt>
                <c:pt idx="3">
                  <c:v>244.76808224207565</c:v>
                </c:pt>
                <c:pt idx="4">
                  <c:v>222.2222222222222</c:v>
                </c:pt>
                <c:pt idx="5">
                  <c:v>194.70404984423675</c:v>
                </c:pt>
              </c:numCache>
            </c:numRef>
          </c:yVal>
          <c:smooth val="0"/>
          <c:extLst>
            <c:ext xmlns:c16="http://schemas.microsoft.com/office/drawing/2014/chart" uri="{C3380CC4-5D6E-409C-BE32-E72D297353CC}">
              <c16:uniqueId val="{00000006-55A9-483F-84E1-2B74A753D921}"/>
            </c:ext>
          </c:extLst>
        </c:ser>
        <c:ser>
          <c:idx val="5"/>
          <c:order val="5"/>
          <c:tx>
            <c:strRef>
              <c:f>'DH -COMET_100'!$B$11</c:f>
              <c:strCache>
                <c:ptCount val="1"/>
                <c:pt idx="0">
                  <c:v>100</c:v>
                </c:pt>
              </c:strCache>
            </c:strRef>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0"/>
            <c:dispEq val="0"/>
          </c:trendline>
          <c:xVal>
            <c:numRef>
              <c:f>'DH -COMET_100'!$A$11:$A$16</c:f>
              <c:numCache>
                <c:formatCode>General</c:formatCode>
                <c:ptCount val="6"/>
                <c:pt idx="0">
                  <c:v>0</c:v>
                </c:pt>
                <c:pt idx="1">
                  <c:v>100</c:v>
                </c:pt>
                <c:pt idx="2">
                  <c:v>250</c:v>
                </c:pt>
                <c:pt idx="3">
                  <c:v>500</c:v>
                </c:pt>
                <c:pt idx="4">
                  <c:v>750</c:v>
                </c:pt>
                <c:pt idx="5">
                  <c:v>1000</c:v>
                </c:pt>
              </c:numCache>
            </c:numRef>
          </c:xVal>
          <c:yVal>
            <c:numRef>
              <c:f>'DH -COMET_100'!$P$11:$P$16</c:f>
              <c:numCache>
                <c:formatCode>General</c:formatCode>
                <c:ptCount val="6"/>
                <c:pt idx="0">
                  <c:v>161.7686708007549</c:v>
                </c:pt>
                <c:pt idx="1">
                  <c:v>141.27619496114903</c:v>
                </c:pt>
                <c:pt idx="2">
                  <c:v>132.56738842244806</c:v>
                </c:pt>
                <c:pt idx="3">
                  <c:v>121.23661345726408</c:v>
                </c:pt>
                <c:pt idx="4">
                  <c:v>111.66945840312674</c:v>
                </c:pt>
                <c:pt idx="5">
                  <c:v>98.360655737704917</c:v>
                </c:pt>
              </c:numCache>
            </c:numRef>
          </c:yVal>
          <c:smooth val="0"/>
          <c:extLst>
            <c:ext xmlns:c16="http://schemas.microsoft.com/office/drawing/2014/chart" uri="{C3380CC4-5D6E-409C-BE32-E72D297353CC}">
              <c16:uniqueId val="{00000007-55A9-483F-84E1-2B74A753D921}"/>
            </c:ext>
          </c:extLst>
        </c:ser>
        <c:dLbls>
          <c:showLegendKey val="0"/>
          <c:showVal val="0"/>
          <c:showCatName val="0"/>
          <c:showSerName val="0"/>
          <c:showPercent val="0"/>
          <c:showBubbleSize val="0"/>
        </c:dLbls>
        <c:axId val="705849336"/>
        <c:axId val="705839168"/>
      </c:scatterChart>
      <c:valAx>
        <c:axId val="7058493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Pressure (psi)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39168"/>
        <c:crosses val="autoZero"/>
        <c:crossBetween val="midCat"/>
        <c:majorUnit val="100"/>
      </c:valAx>
      <c:valAx>
        <c:axId val="705839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rate</a:t>
                </a:r>
                <a:r>
                  <a:rPr lang="en-US" baseline="0"/>
                  <a:t> (L/d)</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493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flow vs watts at 100 rpm</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'DH -COMET_100'!$O$77</c:f>
              <c:strCache>
                <c:ptCount val="1"/>
                <c:pt idx="0">
                  <c:v>flow</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'DH -COMET_100'!$N$78:$N$83</c:f>
              <c:numCache>
                <c:formatCode>General</c:formatCode>
                <c:ptCount val="6"/>
                <c:pt idx="0">
                  <c:v>5.9350000000000005</c:v>
                </c:pt>
                <c:pt idx="1">
                  <c:v>9.3000000000000007</c:v>
                </c:pt>
                <c:pt idx="2">
                  <c:v>11.64</c:v>
                </c:pt>
                <c:pt idx="3">
                  <c:v>13.56</c:v>
                </c:pt>
                <c:pt idx="4">
                  <c:v>17.489999999999998</c:v>
                </c:pt>
                <c:pt idx="5">
                  <c:v>23.4</c:v>
                </c:pt>
              </c:numCache>
            </c:numRef>
          </c:xVal>
          <c:yVal>
            <c:numRef>
              <c:f>'DH -COMET_100'!$O$78:$O$83</c:f>
              <c:numCache>
                <c:formatCode>0.00</c:formatCode>
                <c:ptCount val="6"/>
                <c:pt idx="0">
                  <c:v>161.7686708007549</c:v>
                </c:pt>
                <c:pt idx="1">
                  <c:v>141.27619496114903</c:v>
                </c:pt>
                <c:pt idx="2">
                  <c:v>132.56738842244806</c:v>
                </c:pt>
                <c:pt idx="3">
                  <c:v>121.23661345726408</c:v>
                </c:pt>
                <c:pt idx="4">
                  <c:v>111.66945840312674</c:v>
                </c:pt>
                <c:pt idx="5">
                  <c:v>98.360655737704917</c:v>
                </c:pt>
              </c:numCache>
            </c:numRef>
          </c:yVal>
          <c:smooth val="0"/>
          <c:extLst>
            <c:ext xmlns:c16="http://schemas.microsoft.com/office/drawing/2014/chart" uri="{C3380CC4-5D6E-409C-BE32-E72D297353CC}">
              <c16:uniqueId val="{00000000-2DC9-485F-B3C5-CC5D90085536}"/>
            </c:ext>
          </c:extLst>
        </c:ser>
        <c:dLbls>
          <c:showLegendKey val="0"/>
          <c:showVal val="0"/>
          <c:showCatName val="0"/>
          <c:showSerName val="0"/>
          <c:showPercent val="0"/>
          <c:showBubbleSize val="0"/>
        </c:dLbls>
        <c:axId val="741472816"/>
        <c:axId val="741477408"/>
      </c:scatterChart>
      <c:valAx>
        <c:axId val="7414728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1477408"/>
        <c:crosses val="autoZero"/>
        <c:crossBetween val="midCat"/>
      </c:valAx>
      <c:valAx>
        <c:axId val="7414774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147281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flow</a:t>
            </a:r>
            <a:r>
              <a:rPr lang="en-US" baseline="0"/>
              <a:t>  vs watts at 200 rpm</a:t>
            </a:r>
          </a:p>
        </c:rich>
      </c:tx>
      <c:layout>
        <c:manualLayout>
          <c:xMode val="edge"/>
          <c:yMode val="edge"/>
          <c:x val="0.45163188976377955"/>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'DH -COMET_100'!$Q$77</c:f>
              <c:strCache>
                <c:ptCount val="1"/>
                <c:pt idx="0">
                  <c:v>flow</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'DH -COMET_100'!$P$78:$P$83</c:f>
              <c:numCache>
                <c:formatCode>General</c:formatCode>
                <c:ptCount val="6"/>
                <c:pt idx="0">
                  <c:v>12.07</c:v>
                </c:pt>
                <c:pt idx="1">
                  <c:v>18.465</c:v>
                </c:pt>
                <c:pt idx="2">
                  <c:v>23.19</c:v>
                </c:pt>
                <c:pt idx="3">
                  <c:v>28.635000000000002</c:v>
                </c:pt>
                <c:pt idx="4">
                  <c:v>36</c:v>
                </c:pt>
                <c:pt idx="5">
                  <c:v>46.11</c:v>
                </c:pt>
              </c:numCache>
            </c:numRef>
          </c:xVal>
          <c:yVal>
            <c:numRef>
              <c:f>'DH -COMET_100'!$Q$78:$Q$83</c:f>
              <c:numCache>
                <c:formatCode>0.00</c:formatCode>
                <c:ptCount val="6"/>
                <c:pt idx="0">
                  <c:v>335.4579000335458</c:v>
                </c:pt>
                <c:pt idx="1">
                  <c:v>289.85507246376812</c:v>
                </c:pt>
                <c:pt idx="2">
                  <c:v>270.27027027027026</c:v>
                </c:pt>
                <c:pt idx="3">
                  <c:v>244.76808224207565</c:v>
                </c:pt>
                <c:pt idx="4">
                  <c:v>222.2222222222222</c:v>
                </c:pt>
                <c:pt idx="5">
                  <c:v>194.70404984423675</c:v>
                </c:pt>
              </c:numCache>
            </c:numRef>
          </c:yVal>
          <c:smooth val="0"/>
          <c:extLst>
            <c:ext xmlns:c16="http://schemas.microsoft.com/office/drawing/2014/chart" uri="{C3380CC4-5D6E-409C-BE32-E72D297353CC}">
              <c16:uniqueId val="{00000000-3F38-4E53-9641-9CA4EC5A1DA1}"/>
            </c:ext>
          </c:extLst>
        </c:ser>
        <c:dLbls>
          <c:showLegendKey val="0"/>
          <c:showVal val="0"/>
          <c:showCatName val="0"/>
          <c:showSerName val="0"/>
          <c:showPercent val="0"/>
          <c:showBubbleSize val="0"/>
        </c:dLbls>
        <c:axId val="755753976"/>
        <c:axId val="755756600"/>
      </c:scatterChart>
      <c:valAx>
        <c:axId val="755753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5756600"/>
        <c:crosses val="autoZero"/>
        <c:crossBetween val="midCat"/>
      </c:valAx>
      <c:valAx>
        <c:axId val="7557566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57539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rate vs rpm at 1000 psi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'DH -COMET_100'!$K$104:$P$104</c:f>
              <c:numCache>
                <c:formatCode>0.00</c:formatCode>
                <c:ptCount val="6"/>
                <c:pt idx="0">
                  <c:v>98.360655737704917</c:v>
                </c:pt>
                <c:pt idx="1">
                  <c:v>194.70404984423675</c:v>
                </c:pt>
                <c:pt idx="2">
                  <c:v>437.47721472839959</c:v>
                </c:pt>
                <c:pt idx="3">
                  <c:v>719.56825904457321</c:v>
                </c:pt>
                <c:pt idx="4">
                  <c:v>1024.5265445513814</c:v>
                </c:pt>
                <c:pt idx="5">
                  <c:v>1315.9698423577793</c:v>
                </c:pt>
              </c:numCache>
            </c:numRef>
          </c:xVal>
          <c:yVal>
            <c:numRef>
              <c:f>'DH -COMET_100'!$K$105:$P$105</c:f>
              <c:numCache>
                <c:formatCode>0.00</c:formatCode>
                <c:ptCount val="6"/>
                <c:pt idx="0">
                  <c:v>100</c:v>
                </c:pt>
                <c:pt idx="1">
                  <c:v>200</c:v>
                </c:pt>
                <c:pt idx="2">
                  <c:v>400</c:v>
                </c:pt>
                <c:pt idx="3">
                  <c:v>600</c:v>
                </c:pt>
                <c:pt idx="4">
                  <c:v>800</c:v>
                </c:pt>
                <c:pt idx="5">
                  <c:v>1000</c:v>
                </c:pt>
              </c:numCache>
            </c:numRef>
          </c:yVal>
          <c:smooth val="0"/>
          <c:extLst>
            <c:ext xmlns:c16="http://schemas.microsoft.com/office/drawing/2014/chart" uri="{C3380CC4-5D6E-409C-BE32-E72D297353CC}">
              <c16:uniqueId val="{00000000-6F25-412D-8E9C-6C704850B0F7}"/>
            </c:ext>
          </c:extLst>
        </c:ser>
        <c:dLbls>
          <c:showLegendKey val="0"/>
          <c:showVal val="0"/>
          <c:showCatName val="0"/>
          <c:showSerName val="0"/>
          <c:showPercent val="0"/>
          <c:showBubbleSize val="0"/>
        </c:dLbls>
        <c:axId val="750702216"/>
        <c:axId val="750707792"/>
      </c:scatterChart>
      <c:valAx>
        <c:axId val="750702216"/>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707792"/>
        <c:crosses val="autoZero"/>
        <c:crossBetween val="midCat"/>
      </c:valAx>
      <c:valAx>
        <c:axId val="7507077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70221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DH - Comet 100 pump</a:t>
            </a:r>
          </a:p>
          <a:p>
            <a:pPr>
              <a:defRPr/>
            </a:pPr>
            <a:r>
              <a:rPr lang="en-CA"/>
              <a:t>Watts versus</a:t>
            </a:r>
            <a:r>
              <a:rPr lang="en-CA" baseline="0"/>
              <a:t> Pressure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100 RPM EQUIVALENT</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'DH -COMET_100'!$A$11:$A$16</c:f>
              <c:numCache>
                <c:formatCode>General</c:formatCode>
                <c:ptCount val="6"/>
                <c:pt idx="0">
                  <c:v>0</c:v>
                </c:pt>
                <c:pt idx="1">
                  <c:v>100</c:v>
                </c:pt>
                <c:pt idx="2">
                  <c:v>250</c:v>
                </c:pt>
                <c:pt idx="3">
                  <c:v>500</c:v>
                </c:pt>
                <c:pt idx="4">
                  <c:v>750</c:v>
                </c:pt>
                <c:pt idx="5">
                  <c:v>1000</c:v>
                </c:pt>
              </c:numCache>
            </c:numRef>
          </c:xVal>
          <c:yVal>
            <c:numRef>
              <c:f>'DH -COMET_100'!$E$11:$E$16</c:f>
              <c:numCache>
                <c:formatCode>0.0</c:formatCode>
                <c:ptCount val="6"/>
                <c:pt idx="0">
                  <c:v>6.165</c:v>
                </c:pt>
                <c:pt idx="1">
                  <c:v>9.3000000000000007</c:v>
                </c:pt>
                <c:pt idx="2">
                  <c:v>11.64</c:v>
                </c:pt>
                <c:pt idx="3">
                  <c:v>13.56</c:v>
                </c:pt>
                <c:pt idx="4">
                  <c:v>17.489999999999998</c:v>
                </c:pt>
                <c:pt idx="5">
                  <c:v>23.4</c:v>
                </c:pt>
              </c:numCache>
            </c:numRef>
          </c:yVal>
          <c:smooth val="1"/>
          <c:extLst>
            <c:ext xmlns:c16="http://schemas.microsoft.com/office/drawing/2014/chart" uri="{C3380CC4-5D6E-409C-BE32-E72D297353CC}">
              <c16:uniqueId val="{00000000-47D2-4BDC-AE7A-437FE22C71D4}"/>
            </c:ext>
          </c:extLst>
        </c:ser>
        <c:ser>
          <c:idx val="1"/>
          <c:order val="1"/>
          <c:tx>
            <c:v>200 RPM EQUIVALENT</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'DH -COMET_100'!$A$18:$A$23</c:f>
              <c:numCache>
                <c:formatCode>General</c:formatCode>
                <c:ptCount val="6"/>
                <c:pt idx="0">
                  <c:v>0</c:v>
                </c:pt>
                <c:pt idx="1">
                  <c:v>100</c:v>
                </c:pt>
                <c:pt idx="2">
                  <c:v>250</c:v>
                </c:pt>
                <c:pt idx="3">
                  <c:v>500</c:v>
                </c:pt>
                <c:pt idx="4">
                  <c:v>750</c:v>
                </c:pt>
                <c:pt idx="5">
                  <c:v>1000</c:v>
                </c:pt>
              </c:numCache>
            </c:numRef>
          </c:xVal>
          <c:yVal>
            <c:numRef>
              <c:f>'DH -COMET_100'!$E$18:$E$23</c:f>
              <c:numCache>
                <c:formatCode>0.0</c:formatCode>
                <c:ptCount val="6"/>
                <c:pt idx="0">
                  <c:v>12.3</c:v>
                </c:pt>
                <c:pt idx="1">
                  <c:v>18.465</c:v>
                </c:pt>
                <c:pt idx="2">
                  <c:v>23.19</c:v>
                </c:pt>
                <c:pt idx="3">
                  <c:v>28.635000000000002</c:v>
                </c:pt>
                <c:pt idx="4">
                  <c:v>36</c:v>
                </c:pt>
                <c:pt idx="5">
                  <c:v>46.11</c:v>
                </c:pt>
              </c:numCache>
            </c:numRef>
          </c:yVal>
          <c:smooth val="1"/>
          <c:extLst>
            <c:ext xmlns:c16="http://schemas.microsoft.com/office/drawing/2014/chart" uri="{C3380CC4-5D6E-409C-BE32-E72D297353CC}">
              <c16:uniqueId val="{00000001-47D2-4BDC-AE7A-437FE22C71D4}"/>
            </c:ext>
          </c:extLst>
        </c:ser>
        <c:ser>
          <c:idx val="2"/>
          <c:order val="2"/>
          <c:tx>
            <c:v>400 RPM</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'DH -COMET_100'!$A$25:$A$30</c:f>
              <c:numCache>
                <c:formatCode>General</c:formatCode>
                <c:ptCount val="6"/>
                <c:pt idx="0">
                  <c:v>0</c:v>
                </c:pt>
                <c:pt idx="1">
                  <c:v>100</c:v>
                </c:pt>
                <c:pt idx="2">
                  <c:v>250</c:v>
                </c:pt>
                <c:pt idx="3">
                  <c:v>500</c:v>
                </c:pt>
                <c:pt idx="4">
                  <c:v>750</c:v>
                </c:pt>
                <c:pt idx="5">
                  <c:v>1000</c:v>
                </c:pt>
              </c:numCache>
            </c:numRef>
          </c:xVal>
          <c:yVal>
            <c:numRef>
              <c:f>'DH -COMET_100'!$E$25:$E$30</c:f>
              <c:numCache>
                <c:formatCode>0.0</c:formatCode>
                <c:ptCount val="6"/>
                <c:pt idx="0">
                  <c:v>23.82</c:v>
                </c:pt>
                <c:pt idx="1">
                  <c:v>34.200000000000003</c:v>
                </c:pt>
                <c:pt idx="2">
                  <c:v>44.64</c:v>
                </c:pt>
                <c:pt idx="3">
                  <c:v>59.82</c:v>
                </c:pt>
                <c:pt idx="4">
                  <c:v>67.5</c:v>
                </c:pt>
                <c:pt idx="5">
                  <c:v>88.62</c:v>
                </c:pt>
              </c:numCache>
            </c:numRef>
          </c:yVal>
          <c:smooth val="1"/>
          <c:extLst>
            <c:ext xmlns:c16="http://schemas.microsoft.com/office/drawing/2014/chart" uri="{C3380CC4-5D6E-409C-BE32-E72D297353CC}">
              <c16:uniqueId val="{00000002-47D2-4BDC-AE7A-437FE22C71D4}"/>
            </c:ext>
          </c:extLst>
        </c:ser>
        <c:ser>
          <c:idx val="3"/>
          <c:order val="3"/>
          <c:tx>
            <c:v>600 RPM</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'DH -COMET_100'!$A$32:$A$37</c:f>
              <c:numCache>
                <c:formatCode>General</c:formatCode>
                <c:ptCount val="6"/>
                <c:pt idx="0">
                  <c:v>0</c:v>
                </c:pt>
                <c:pt idx="1">
                  <c:v>100</c:v>
                </c:pt>
                <c:pt idx="2">
                  <c:v>250</c:v>
                </c:pt>
                <c:pt idx="3">
                  <c:v>500</c:v>
                </c:pt>
                <c:pt idx="4">
                  <c:v>750</c:v>
                </c:pt>
                <c:pt idx="5">
                  <c:v>1000</c:v>
                </c:pt>
              </c:numCache>
            </c:numRef>
          </c:xVal>
          <c:yVal>
            <c:numRef>
              <c:f>'DH -COMET_100'!$E$32:$E$37</c:f>
              <c:numCache>
                <c:formatCode>0.0</c:formatCode>
                <c:ptCount val="6"/>
                <c:pt idx="0">
                  <c:v>36.479999999999997</c:v>
                </c:pt>
                <c:pt idx="1">
                  <c:v>52.62</c:v>
                </c:pt>
                <c:pt idx="2">
                  <c:v>64.56</c:v>
                </c:pt>
                <c:pt idx="3">
                  <c:v>74.52</c:v>
                </c:pt>
                <c:pt idx="4">
                  <c:v>93.48</c:v>
                </c:pt>
                <c:pt idx="5">
                  <c:v>120.18</c:v>
                </c:pt>
              </c:numCache>
            </c:numRef>
          </c:yVal>
          <c:smooth val="1"/>
          <c:extLst>
            <c:ext xmlns:c16="http://schemas.microsoft.com/office/drawing/2014/chart" uri="{C3380CC4-5D6E-409C-BE32-E72D297353CC}">
              <c16:uniqueId val="{00000003-47D2-4BDC-AE7A-437FE22C71D4}"/>
            </c:ext>
          </c:extLst>
        </c:ser>
        <c:ser>
          <c:idx val="4"/>
          <c:order val="4"/>
          <c:tx>
            <c:v>8000 RPM</c:v>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'DH -COMET_100'!$A$39:$A$44</c:f>
              <c:numCache>
                <c:formatCode>General</c:formatCode>
                <c:ptCount val="6"/>
                <c:pt idx="0">
                  <c:v>0</c:v>
                </c:pt>
                <c:pt idx="1">
                  <c:v>100</c:v>
                </c:pt>
                <c:pt idx="2">
                  <c:v>250</c:v>
                </c:pt>
                <c:pt idx="3">
                  <c:v>500</c:v>
                </c:pt>
                <c:pt idx="4">
                  <c:v>750</c:v>
                </c:pt>
                <c:pt idx="5">
                  <c:v>1000</c:v>
                </c:pt>
              </c:numCache>
            </c:numRef>
          </c:xVal>
          <c:yVal>
            <c:numRef>
              <c:f>'DH -COMET_100'!$E$39:$E$44</c:f>
              <c:numCache>
                <c:formatCode>0.0</c:formatCode>
                <c:ptCount val="6"/>
                <c:pt idx="0">
                  <c:v>53.52</c:v>
                </c:pt>
                <c:pt idx="1">
                  <c:v>71.400000000000006</c:v>
                </c:pt>
                <c:pt idx="2">
                  <c:v>89.52</c:v>
                </c:pt>
                <c:pt idx="3">
                  <c:v>103.86</c:v>
                </c:pt>
                <c:pt idx="4">
                  <c:v>123.72</c:v>
                </c:pt>
                <c:pt idx="5">
                  <c:v>143.54285714285714</c:v>
                </c:pt>
              </c:numCache>
            </c:numRef>
          </c:yVal>
          <c:smooth val="1"/>
          <c:extLst>
            <c:ext xmlns:c16="http://schemas.microsoft.com/office/drawing/2014/chart" uri="{C3380CC4-5D6E-409C-BE32-E72D297353CC}">
              <c16:uniqueId val="{00000004-47D2-4BDC-AE7A-437FE22C71D4}"/>
            </c:ext>
          </c:extLst>
        </c:ser>
        <c:ser>
          <c:idx val="5"/>
          <c:order val="5"/>
          <c:tx>
            <c:v>1000 RPM</c:v>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f>'DH -COMET_100'!$A$46:$A$51</c:f>
              <c:numCache>
                <c:formatCode>General</c:formatCode>
                <c:ptCount val="6"/>
                <c:pt idx="0">
                  <c:v>0</c:v>
                </c:pt>
                <c:pt idx="1">
                  <c:v>100</c:v>
                </c:pt>
                <c:pt idx="2">
                  <c:v>250</c:v>
                </c:pt>
                <c:pt idx="3">
                  <c:v>500</c:v>
                </c:pt>
                <c:pt idx="4">
                  <c:v>750</c:v>
                </c:pt>
                <c:pt idx="5">
                  <c:v>1000</c:v>
                </c:pt>
              </c:numCache>
            </c:numRef>
          </c:xVal>
          <c:yVal>
            <c:numRef>
              <c:f>'DH -COMET_100'!$E$46:$E$51</c:f>
              <c:numCache>
                <c:formatCode>0.0</c:formatCode>
                <c:ptCount val="6"/>
                <c:pt idx="0">
                  <c:v>70.56</c:v>
                </c:pt>
                <c:pt idx="1">
                  <c:v>94.32</c:v>
                </c:pt>
                <c:pt idx="2">
                  <c:v>116.64</c:v>
                </c:pt>
                <c:pt idx="3">
                  <c:v>138.12</c:v>
                </c:pt>
                <c:pt idx="4">
                  <c:v>166.17142857142855</c:v>
                </c:pt>
                <c:pt idx="5">
                  <c:v>191.04</c:v>
                </c:pt>
              </c:numCache>
            </c:numRef>
          </c:yVal>
          <c:smooth val="1"/>
          <c:extLst>
            <c:ext xmlns:c16="http://schemas.microsoft.com/office/drawing/2014/chart" uri="{C3380CC4-5D6E-409C-BE32-E72D297353CC}">
              <c16:uniqueId val="{00000005-47D2-4BDC-AE7A-437FE22C71D4}"/>
            </c:ext>
          </c:extLst>
        </c:ser>
        <c:dLbls>
          <c:showLegendKey val="0"/>
          <c:showVal val="0"/>
          <c:showCatName val="0"/>
          <c:showSerName val="0"/>
          <c:showPercent val="0"/>
          <c:showBubbleSize val="0"/>
        </c:dLbls>
        <c:axId val="666338120"/>
        <c:axId val="666338448"/>
      </c:scatterChart>
      <c:valAx>
        <c:axId val="6663381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338448"/>
        <c:crosses val="autoZero"/>
        <c:crossBetween val="midCat"/>
      </c:valAx>
      <c:valAx>
        <c:axId val="666338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33812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DH - Fusion2 100 pump</a:t>
            </a:r>
          </a:p>
          <a:p>
            <a:pPr>
              <a:defRPr/>
            </a:pPr>
            <a:r>
              <a:rPr lang="en-CA"/>
              <a:t>Watts versus</a:t>
            </a:r>
            <a:r>
              <a:rPr lang="en-CA" baseline="0"/>
              <a:t> Pressure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'DH -F2_100'!$B$11</c:f>
              <c:strCache>
                <c:ptCount val="1"/>
                <c:pt idx="0">
                  <c:v>20</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'DH -F2_100'!$A$11:$A$16</c:f>
              <c:numCache>
                <c:formatCode>General</c:formatCode>
                <c:ptCount val="6"/>
                <c:pt idx="0">
                  <c:v>0</c:v>
                </c:pt>
                <c:pt idx="1">
                  <c:v>100</c:v>
                </c:pt>
                <c:pt idx="2">
                  <c:v>250</c:v>
                </c:pt>
                <c:pt idx="3">
                  <c:v>500</c:v>
                </c:pt>
                <c:pt idx="4">
                  <c:v>750</c:v>
                </c:pt>
                <c:pt idx="5">
                  <c:v>1000</c:v>
                </c:pt>
              </c:numCache>
            </c:numRef>
          </c:xVal>
          <c:yVal>
            <c:numRef>
              <c:f>'DH -F2_100'!$F$11:$F$16</c:f>
              <c:numCache>
                <c:formatCode>0.0</c:formatCode>
                <c:ptCount val="6"/>
                <c:pt idx="0">
                  <c:v>3.3</c:v>
                </c:pt>
                <c:pt idx="1">
                  <c:v>6.12</c:v>
                </c:pt>
                <c:pt idx="2">
                  <c:v>8.5200000000000014</c:v>
                </c:pt>
                <c:pt idx="3">
                  <c:v>10.14</c:v>
                </c:pt>
                <c:pt idx="4">
                  <c:v>13.68</c:v>
                </c:pt>
                <c:pt idx="5">
                  <c:v>19.2</c:v>
                </c:pt>
              </c:numCache>
            </c:numRef>
          </c:yVal>
          <c:smooth val="1"/>
          <c:extLst>
            <c:ext xmlns:c16="http://schemas.microsoft.com/office/drawing/2014/chart" uri="{C3380CC4-5D6E-409C-BE32-E72D297353CC}">
              <c16:uniqueId val="{00000000-617E-42CA-ACD5-4DF955DD32CB}"/>
            </c:ext>
          </c:extLst>
        </c:ser>
        <c:ser>
          <c:idx val="1"/>
          <c:order val="1"/>
          <c:tx>
            <c:strRef>
              <c:f>'DH -F2_100'!$B$18</c:f>
              <c:strCache>
                <c:ptCount val="1"/>
                <c:pt idx="0">
                  <c:v>136</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'DH -F2_100'!$A$18:$A$23</c:f>
              <c:numCache>
                <c:formatCode>General</c:formatCode>
                <c:ptCount val="6"/>
                <c:pt idx="0">
                  <c:v>0</c:v>
                </c:pt>
                <c:pt idx="1">
                  <c:v>100</c:v>
                </c:pt>
                <c:pt idx="2">
                  <c:v>250</c:v>
                </c:pt>
                <c:pt idx="3">
                  <c:v>500</c:v>
                </c:pt>
                <c:pt idx="4">
                  <c:v>750</c:v>
                </c:pt>
                <c:pt idx="5">
                  <c:v>1000</c:v>
                </c:pt>
              </c:numCache>
            </c:numRef>
          </c:xVal>
          <c:yVal>
            <c:numRef>
              <c:f>'DH -F2_100'!$F$18:$F$23</c:f>
              <c:numCache>
                <c:formatCode>0.0</c:formatCode>
                <c:ptCount val="6"/>
                <c:pt idx="0">
                  <c:v>11.700000000000001</c:v>
                </c:pt>
                <c:pt idx="1">
                  <c:v>17.04</c:v>
                </c:pt>
                <c:pt idx="2">
                  <c:v>22.5</c:v>
                </c:pt>
                <c:pt idx="3">
                  <c:v>28.38</c:v>
                </c:pt>
                <c:pt idx="4">
                  <c:v>35.22</c:v>
                </c:pt>
                <c:pt idx="5">
                  <c:v>45.660000000000004</c:v>
                </c:pt>
              </c:numCache>
            </c:numRef>
          </c:yVal>
          <c:smooth val="1"/>
          <c:extLst>
            <c:ext xmlns:c16="http://schemas.microsoft.com/office/drawing/2014/chart" uri="{C3380CC4-5D6E-409C-BE32-E72D297353CC}">
              <c16:uniqueId val="{00000001-617E-42CA-ACD5-4DF955DD32CB}"/>
            </c:ext>
          </c:extLst>
        </c:ser>
        <c:ser>
          <c:idx val="2"/>
          <c:order val="2"/>
          <c:tx>
            <c:strRef>
              <c:f>'DH -F2_100'!$B$25</c:f>
              <c:strCache>
                <c:ptCount val="1"/>
                <c:pt idx="0">
                  <c:v>252</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'DH -F2_100'!$A$25:$A$30</c:f>
              <c:numCache>
                <c:formatCode>General</c:formatCode>
                <c:ptCount val="6"/>
                <c:pt idx="0">
                  <c:v>0</c:v>
                </c:pt>
                <c:pt idx="1">
                  <c:v>100</c:v>
                </c:pt>
                <c:pt idx="2">
                  <c:v>250</c:v>
                </c:pt>
                <c:pt idx="3">
                  <c:v>500</c:v>
                </c:pt>
                <c:pt idx="4">
                  <c:v>750</c:v>
                </c:pt>
                <c:pt idx="5">
                  <c:v>1000</c:v>
                </c:pt>
              </c:numCache>
            </c:numRef>
          </c:xVal>
          <c:yVal>
            <c:numRef>
              <c:f>'DH -F2_100'!$F$25:$F$30</c:f>
              <c:numCache>
                <c:formatCode>0.0</c:formatCode>
                <c:ptCount val="6"/>
                <c:pt idx="0">
                  <c:v>19.260000000000002</c:v>
                </c:pt>
                <c:pt idx="1">
                  <c:v>32.46</c:v>
                </c:pt>
                <c:pt idx="2">
                  <c:v>38.82</c:v>
                </c:pt>
                <c:pt idx="3">
                  <c:v>46.68</c:v>
                </c:pt>
                <c:pt idx="4">
                  <c:v>60.6</c:v>
                </c:pt>
                <c:pt idx="5">
                  <c:v>74.099999999999994</c:v>
                </c:pt>
              </c:numCache>
            </c:numRef>
          </c:yVal>
          <c:smooth val="1"/>
          <c:extLst>
            <c:ext xmlns:c16="http://schemas.microsoft.com/office/drawing/2014/chart" uri="{C3380CC4-5D6E-409C-BE32-E72D297353CC}">
              <c16:uniqueId val="{00000002-617E-42CA-ACD5-4DF955DD32CB}"/>
            </c:ext>
          </c:extLst>
        </c:ser>
        <c:ser>
          <c:idx val="3"/>
          <c:order val="3"/>
          <c:tx>
            <c:strRef>
              <c:f>'DH -F2_100'!$B$32</c:f>
              <c:strCache>
                <c:ptCount val="1"/>
                <c:pt idx="0">
                  <c:v>368</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'DH -F2_100'!$A$32:$A$37</c:f>
              <c:numCache>
                <c:formatCode>General</c:formatCode>
                <c:ptCount val="6"/>
                <c:pt idx="0">
                  <c:v>0</c:v>
                </c:pt>
                <c:pt idx="1">
                  <c:v>100</c:v>
                </c:pt>
                <c:pt idx="2">
                  <c:v>250</c:v>
                </c:pt>
                <c:pt idx="3">
                  <c:v>500</c:v>
                </c:pt>
                <c:pt idx="4">
                  <c:v>750</c:v>
                </c:pt>
                <c:pt idx="5">
                  <c:v>1000</c:v>
                </c:pt>
              </c:numCache>
            </c:numRef>
          </c:xVal>
          <c:yVal>
            <c:numRef>
              <c:f>'DH -F2_100'!$F$32:$F$37</c:f>
              <c:numCache>
                <c:formatCode>0.0</c:formatCode>
                <c:ptCount val="6"/>
                <c:pt idx="0">
                  <c:v>26.04</c:v>
                </c:pt>
                <c:pt idx="1">
                  <c:v>41.28</c:v>
                </c:pt>
                <c:pt idx="2">
                  <c:v>52.02</c:v>
                </c:pt>
                <c:pt idx="3">
                  <c:v>64.56</c:v>
                </c:pt>
                <c:pt idx="4">
                  <c:v>80.400000000000006</c:v>
                </c:pt>
                <c:pt idx="5">
                  <c:v>104.34</c:v>
                </c:pt>
              </c:numCache>
            </c:numRef>
          </c:yVal>
          <c:smooth val="1"/>
          <c:extLst>
            <c:ext xmlns:c16="http://schemas.microsoft.com/office/drawing/2014/chart" uri="{C3380CC4-5D6E-409C-BE32-E72D297353CC}">
              <c16:uniqueId val="{00000003-617E-42CA-ACD5-4DF955DD32CB}"/>
            </c:ext>
          </c:extLst>
        </c:ser>
        <c:ser>
          <c:idx val="4"/>
          <c:order val="4"/>
          <c:tx>
            <c:strRef>
              <c:f>'DH -F2_100'!$B$39</c:f>
              <c:strCache>
                <c:ptCount val="1"/>
                <c:pt idx="0">
                  <c:v>484</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'DH -F2_100'!$A$39:$A$44</c:f>
              <c:numCache>
                <c:formatCode>General</c:formatCode>
                <c:ptCount val="6"/>
                <c:pt idx="0">
                  <c:v>0</c:v>
                </c:pt>
                <c:pt idx="1">
                  <c:v>100</c:v>
                </c:pt>
                <c:pt idx="2">
                  <c:v>250</c:v>
                </c:pt>
                <c:pt idx="3">
                  <c:v>500</c:v>
                </c:pt>
                <c:pt idx="4">
                  <c:v>750</c:v>
                </c:pt>
                <c:pt idx="5">
                  <c:v>1000</c:v>
                </c:pt>
              </c:numCache>
            </c:numRef>
          </c:xVal>
          <c:yVal>
            <c:numRef>
              <c:f>'DH -F2_100'!$F$39:$F$44</c:f>
              <c:numCache>
                <c:formatCode>0.0</c:formatCode>
                <c:ptCount val="6"/>
                <c:pt idx="0">
                  <c:v>36.414193548387097</c:v>
                </c:pt>
                <c:pt idx="1">
                  <c:v>58.280963855421689</c:v>
                </c:pt>
                <c:pt idx="2">
                  <c:v>70.02</c:v>
                </c:pt>
                <c:pt idx="3">
                  <c:v>83.94</c:v>
                </c:pt>
                <c:pt idx="4">
                  <c:v>101.16</c:v>
                </c:pt>
                <c:pt idx="5">
                  <c:v>130.07999999999998</c:v>
                </c:pt>
              </c:numCache>
            </c:numRef>
          </c:yVal>
          <c:smooth val="1"/>
          <c:extLst>
            <c:ext xmlns:c16="http://schemas.microsoft.com/office/drawing/2014/chart" uri="{C3380CC4-5D6E-409C-BE32-E72D297353CC}">
              <c16:uniqueId val="{00000004-617E-42CA-ACD5-4DF955DD32CB}"/>
            </c:ext>
          </c:extLst>
        </c:ser>
        <c:ser>
          <c:idx val="5"/>
          <c:order val="5"/>
          <c:tx>
            <c:strRef>
              <c:f>'DH -F2_100'!$B$46</c:f>
              <c:strCache>
                <c:ptCount val="1"/>
                <c:pt idx="0">
                  <c:v>600</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f>'DH -F2_100'!$A$46:$A$51</c:f>
              <c:numCache>
                <c:formatCode>General</c:formatCode>
                <c:ptCount val="6"/>
                <c:pt idx="0">
                  <c:v>0</c:v>
                </c:pt>
                <c:pt idx="1">
                  <c:v>100</c:v>
                </c:pt>
                <c:pt idx="2">
                  <c:v>250</c:v>
                </c:pt>
                <c:pt idx="3">
                  <c:v>500</c:v>
                </c:pt>
                <c:pt idx="4">
                  <c:v>750</c:v>
                </c:pt>
                <c:pt idx="5">
                  <c:v>1000</c:v>
                </c:pt>
              </c:numCache>
            </c:numRef>
          </c:xVal>
          <c:yVal>
            <c:numRef>
              <c:f>'DH -F2_100'!$F$46:$F$51</c:f>
              <c:numCache>
                <c:formatCode>0.0</c:formatCode>
                <c:ptCount val="6"/>
                <c:pt idx="0">
                  <c:v>46.930909090909097</c:v>
                </c:pt>
                <c:pt idx="1">
                  <c:v>74.599999999999994</c:v>
                </c:pt>
                <c:pt idx="2">
                  <c:v>89.501538461538459</c:v>
                </c:pt>
                <c:pt idx="3">
                  <c:v>104.39</c:v>
                </c:pt>
                <c:pt idx="4">
                  <c:v>131.33999999999997</c:v>
                </c:pt>
                <c:pt idx="5">
                  <c:v>166.92</c:v>
                </c:pt>
              </c:numCache>
            </c:numRef>
          </c:yVal>
          <c:smooth val="1"/>
          <c:extLst>
            <c:ext xmlns:c16="http://schemas.microsoft.com/office/drawing/2014/chart" uri="{C3380CC4-5D6E-409C-BE32-E72D297353CC}">
              <c16:uniqueId val="{00000005-617E-42CA-ACD5-4DF955DD32CB}"/>
            </c:ext>
          </c:extLst>
        </c:ser>
        <c:dLbls>
          <c:showLegendKey val="0"/>
          <c:showVal val="0"/>
          <c:showCatName val="0"/>
          <c:showSerName val="0"/>
          <c:showPercent val="0"/>
          <c:showBubbleSize val="0"/>
        </c:dLbls>
        <c:axId val="666338120"/>
        <c:axId val="666338448"/>
      </c:scatterChart>
      <c:valAx>
        <c:axId val="6663381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338448"/>
        <c:crosses val="autoZero"/>
        <c:crossBetween val="midCat"/>
      </c:valAx>
      <c:valAx>
        <c:axId val="666338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33812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Fusion3 100</a:t>
            </a:r>
          </a:p>
        </c:rich>
      </c:tx>
      <c:layout>
        <c:manualLayout>
          <c:xMode val="edge"/>
          <c:yMode val="edge"/>
          <c:x val="0.30150113401050277"/>
          <c:y val="2.17821204808531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FUSION3_DH100!$B$47</c:f>
              <c:strCache>
                <c:ptCount val="1"/>
                <c:pt idx="0">
                  <c:v>1000</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1.4594119979606865E-2"/>
                  <c:y val="-0.1451468566429196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FUSION3_DH100!$A$47:$A$52</c:f>
              <c:numCache>
                <c:formatCode>General</c:formatCode>
                <c:ptCount val="6"/>
                <c:pt idx="0">
                  <c:v>0</c:v>
                </c:pt>
                <c:pt idx="1">
                  <c:v>100</c:v>
                </c:pt>
                <c:pt idx="2">
                  <c:v>250</c:v>
                </c:pt>
                <c:pt idx="3">
                  <c:v>500</c:v>
                </c:pt>
                <c:pt idx="4">
                  <c:v>750</c:v>
                </c:pt>
                <c:pt idx="5">
                  <c:v>1000</c:v>
                </c:pt>
              </c:numCache>
            </c:numRef>
          </c:xVal>
          <c:yVal>
            <c:numRef>
              <c:f>FUSION3_DH100!$P$47:$P$52</c:f>
              <c:numCache>
                <c:formatCode>0.00</c:formatCode>
                <c:ptCount val="6"/>
                <c:pt idx="0">
                  <c:v>1980</c:v>
                </c:pt>
                <c:pt idx="1">
                  <c:v>1813.3333333333333</c:v>
                </c:pt>
                <c:pt idx="2">
                  <c:v>1756.6666666666667</c:v>
                </c:pt>
                <c:pt idx="3">
                  <c:v>1696.6666666666667</c:v>
                </c:pt>
                <c:pt idx="4">
                  <c:v>1638.3333333333333</c:v>
                </c:pt>
                <c:pt idx="5">
                  <c:v>1600</c:v>
                </c:pt>
              </c:numCache>
            </c:numRef>
          </c:yVal>
          <c:smooth val="0"/>
          <c:extLst>
            <c:ext xmlns:c16="http://schemas.microsoft.com/office/drawing/2014/chart" uri="{C3380CC4-5D6E-409C-BE32-E72D297353CC}">
              <c16:uniqueId val="{00000001-DA0F-4DB6-9598-6DD5DF8C5CF8}"/>
            </c:ext>
          </c:extLst>
        </c:ser>
        <c:ser>
          <c:idx val="1"/>
          <c:order val="1"/>
          <c:tx>
            <c:strRef>
              <c:f>FUSION3_DH100!$B$40</c:f>
              <c:strCache>
                <c:ptCount val="1"/>
                <c:pt idx="0">
                  <c:v>800</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0"/>
            <c:dispEq val="0"/>
          </c:trendline>
          <c:xVal>
            <c:numRef>
              <c:f>FUSION3_DH100!$A$40:$A$45</c:f>
              <c:numCache>
                <c:formatCode>General</c:formatCode>
                <c:ptCount val="6"/>
                <c:pt idx="0">
                  <c:v>0</c:v>
                </c:pt>
                <c:pt idx="1">
                  <c:v>100</c:v>
                </c:pt>
                <c:pt idx="2">
                  <c:v>250</c:v>
                </c:pt>
                <c:pt idx="3">
                  <c:v>500</c:v>
                </c:pt>
                <c:pt idx="4">
                  <c:v>750</c:v>
                </c:pt>
                <c:pt idx="5">
                  <c:v>1000</c:v>
                </c:pt>
              </c:numCache>
            </c:numRef>
          </c:xVal>
          <c:yVal>
            <c:numRef>
              <c:f>FUSION3_DH100!$P$40:$P$45</c:f>
              <c:numCache>
                <c:formatCode>0.00</c:formatCode>
                <c:ptCount val="6"/>
                <c:pt idx="0">
                  <c:v>1516.6666666666667</c:v>
                </c:pt>
                <c:pt idx="1">
                  <c:v>1440</c:v>
                </c:pt>
                <c:pt idx="2">
                  <c:v>1400</c:v>
                </c:pt>
                <c:pt idx="3">
                  <c:v>1360</c:v>
                </c:pt>
                <c:pt idx="4">
                  <c:v>1320</c:v>
                </c:pt>
                <c:pt idx="5">
                  <c:v>1280</c:v>
                </c:pt>
              </c:numCache>
            </c:numRef>
          </c:yVal>
          <c:smooth val="0"/>
          <c:extLst>
            <c:ext xmlns:c16="http://schemas.microsoft.com/office/drawing/2014/chart" uri="{C3380CC4-5D6E-409C-BE32-E72D297353CC}">
              <c16:uniqueId val="{00000003-DA0F-4DB6-9598-6DD5DF8C5CF8}"/>
            </c:ext>
          </c:extLst>
        </c:ser>
        <c:ser>
          <c:idx val="2"/>
          <c:order val="2"/>
          <c:tx>
            <c:strRef>
              <c:f>FUSION3_DH100!$B$33</c:f>
              <c:strCache>
                <c:ptCount val="1"/>
                <c:pt idx="0">
                  <c:v>600</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0"/>
            <c:dispEq val="0"/>
          </c:trendline>
          <c:xVal>
            <c:numRef>
              <c:f>FUSION3_DH100!$A$33:$A$38</c:f>
              <c:numCache>
                <c:formatCode>General</c:formatCode>
                <c:ptCount val="6"/>
                <c:pt idx="0">
                  <c:v>0</c:v>
                </c:pt>
                <c:pt idx="1">
                  <c:v>100</c:v>
                </c:pt>
                <c:pt idx="2">
                  <c:v>250</c:v>
                </c:pt>
                <c:pt idx="3">
                  <c:v>500</c:v>
                </c:pt>
                <c:pt idx="4">
                  <c:v>750</c:v>
                </c:pt>
                <c:pt idx="5">
                  <c:v>1000</c:v>
                </c:pt>
              </c:numCache>
            </c:numRef>
          </c:xVal>
          <c:yVal>
            <c:numRef>
              <c:f>FUSION3_DH100!$P$33:$P$38</c:f>
              <c:numCache>
                <c:formatCode>0.00</c:formatCode>
                <c:ptCount val="6"/>
                <c:pt idx="0">
                  <c:v>1135</c:v>
                </c:pt>
                <c:pt idx="1">
                  <c:v>1073.3333333333333</c:v>
                </c:pt>
                <c:pt idx="2">
                  <c:v>1055</c:v>
                </c:pt>
                <c:pt idx="3">
                  <c:v>1020</c:v>
                </c:pt>
                <c:pt idx="4">
                  <c:v>998.33333333333337</c:v>
                </c:pt>
                <c:pt idx="5">
                  <c:v>960</c:v>
                </c:pt>
              </c:numCache>
            </c:numRef>
          </c:yVal>
          <c:smooth val="0"/>
          <c:extLst>
            <c:ext xmlns:c16="http://schemas.microsoft.com/office/drawing/2014/chart" uri="{C3380CC4-5D6E-409C-BE32-E72D297353CC}">
              <c16:uniqueId val="{00000005-DA0F-4DB6-9598-6DD5DF8C5CF8}"/>
            </c:ext>
          </c:extLst>
        </c:ser>
        <c:ser>
          <c:idx val="3"/>
          <c:order val="3"/>
          <c:tx>
            <c:strRef>
              <c:f>FUSION3_DH100!$B$26</c:f>
              <c:strCache>
                <c:ptCount val="1"/>
                <c:pt idx="0">
                  <c:v>400</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ly"/>
            <c:order val="2"/>
            <c:dispRSqr val="0"/>
            <c:dispEq val="0"/>
          </c:trendline>
          <c:xVal>
            <c:numRef>
              <c:f>FUSION3_DH100!$A$26:$A$31</c:f>
              <c:numCache>
                <c:formatCode>General</c:formatCode>
                <c:ptCount val="6"/>
                <c:pt idx="0">
                  <c:v>0</c:v>
                </c:pt>
                <c:pt idx="1">
                  <c:v>100</c:v>
                </c:pt>
                <c:pt idx="2">
                  <c:v>250</c:v>
                </c:pt>
                <c:pt idx="3">
                  <c:v>500</c:v>
                </c:pt>
                <c:pt idx="4">
                  <c:v>750</c:v>
                </c:pt>
                <c:pt idx="5">
                  <c:v>1000</c:v>
                </c:pt>
              </c:numCache>
            </c:numRef>
          </c:xVal>
          <c:yVal>
            <c:numRef>
              <c:f>FUSION3_DH100!$P$26:$P$31</c:f>
              <c:numCache>
                <c:formatCode>0.00</c:formatCode>
                <c:ptCount val="6"/>
                <c:pt idx="0">
                  <c:v>740</c:v>
                </c:pt>
                <c:pt idx="1">
                  <c:v>720</c:v>
                </c:pt>
                <c:pt idx="2">
                  <c:v>710</c:v>
                </c:pt>
                <c:pt idx="3">
                  <c:v>690</c:v>
                </c:pt>
                <c:pt idx="4">
                  <c:v>660</c:v>
                </c:pt>
                <c:pt idx="5">
                  <c:v>640</c:v>
                </c:pt>
              </c:numCache>
            </c:numRef>
          </c:yVal>
          <c:smooth val="0"/>
          <c:extLst>
            <c:ext xmlns:c16="http://schemas.microsoft.com/office/drawing/2014/chart" uri="{C3380CC4-5D6E-409C-BE32-E72D297353CC}">
              <c16:uniqueId val="{00000007-DA0F-4DB6-9598-6DD5DF8C5CF8}"/>
            </c:ext>
          </c:extLst>
        </c:ser>
        <c:ser>
          <c:idx val="4"/>
          <c:order val="4"/>
          <c:tx>
            <c:strRef>
              <c:f>FUSION3_DH100!$B$19</c:f>
              <c:strCache>
                <c:ptCount val="1"/>
                <c:pt idx="0">
                  <c:v>200</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wer"/>
            <c:dispRSqr val="0"/>
            <c:dispEq val="0"/>
          </c:trendline>
          <c:trendline>
            <c:spPr>
              <a:ln w="19050" cap="rnd">
                <a:solidFill>
                  <a:schemeClr val="accent5"/>
                </a:solidFill>
                <a:prstDash val="sysDot"/>
              </a:ln>
              <a:effectLst/>
            </c:spPr>
            <c:trendlineType val="poly"/>
            <c:order val="2"/>
            <c:dispRSqr val="0"/>
            <c:dispEq val="0"/>
          </c:trendline>
          <c:xVal>
            <c:numRef>
              <c:f>FUSION3_DH100!$A$19:$A$24</c:f>
              <c:numCache>
                <c:formatCode>General</c:formatCode>
                <c:ptCount val="6"/>
                <c:pt idx="0">
                  <c:v>0</c:v>
                </c:pt>
                <c:pt idx="1">
                  <c:v>100</c:v>
                </c:pt>
                <c:pt idx="2">
                  <c:v>250</c:v>
                </c:pt>
                <c:pt idx="3">
                  <c:v>500</c:v>
                </c:pt>
                <c:pt idx="4">
                  <c:v>750</c:v>
                </c:pt>
                <c:pt idx="5">
                  <c:v>1000</c:v>
                </c:pt>
              </c:numCache>
            </c:numRef>
          </c:xVal>
          <c:yVal>
            <c:numRef>
              <c:f>FUSION3_DH100!$W$19:$W$24</c:f>
              <c:numCache>
                <c:formatCode>General</c:formatCode>
                <c:ptCount val="6"/>
              </c:numCache>
            </c:numRef>
          </c:yVal>
          <c:smooth val="0"/>
          <c:extLst>
            <c:ext xmlns:c16="http://schemas.microsoft.com/office/drawing/2014/chart" uri="{C3380CC4-5D6E-409C-BE32-E72D297353CC}">
              <c16:uniqueId val="{0000000A-DA0F-4DB6-9598-6DD5DF8C5CF8}"/>
            </c:ext>
          </c:extLst>
        </c:ser>
        <c:ser>
          <c:idx val="5"/>
          <c:order val="5"/>
          <c:tx>
            <c:strRef>
              <c:f>FUSION3_DH100!$B$12</c:f>
              <c:strCache>
                <c:ptCount val="1"/>
                <c:pt idx="0">
                  <c:v>100</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0"/>
            <c:dispEq val="0"/>
          </c:trendline>
          <c:xVal>
            <c:numRef>
              <c:f>FUSION3_DH100!$A$12:$A$17</c:f>
              <c:numCache>
                <c:formatCode>General</c:formatCode>
                <c:ptCount val="6"/>
                <c:pt idx="0">
                  <c:v>0</c:v>
                </c:pt>
                <c:pt idx="1">
                  <c:v>100</c:v>
                </c:pt>
                <c:pt idx="2">
                  <c:v>250</c:v>
                </c:pt>
                <c:pt idx="3">
                  <c:v>500</c:v>
                </c:pt>
                <c:pt idx="4">
                  <c:v>750</c:v>
                </c:pt>
                <c:pt idx="5">
                  <c:v>1000</c:v>
                </c:pt>
              </c:numCache>
            </c:numRef>
          </c:xVal>
          <c:yVal>
            <c:numRef>
              <c:f>FUSION3_DH100!$W$12:$W$17</c:f>
              <c:numCache>
                <c:formatCode>General</c:formatCode>
                <c:ptCount val="6"/>
              </c:numCache>
            </c:numRef>
          </c:yVal>
          <c:smooth val="0"/>
          <c:extLst>
            <c:ext xmlns:c16="http://schemas.microsoft.com/office/drawing/2014/chart" uri="{C3380CC4-5D6E-409C-BE32-E72D297353CC}">
              <c16:uniqueId val="{0000000C-DA0F-4DB6-9598-6DD5DF8C5CF8}"/>
            </c:ext>
          </c:extLst>
        </c:ser>
        <c:ser>
          <c:idx val="7"/>
          <c:order val="6"/>
          <c:tx>
            <c:strRef>
              <c:f>FUSION3_DH100!$B$54</c:f>
              <c:strCache>
                <c:ptCount val="1"/>
                <c:pt idx="0">
                  <c:v>1100</c:v>
                </c:pt>
              </c:strCache>
            </c:strRef>
          </c:tx>
          <c:spPr>
            <a:ln w="19050"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trendline>
            <c:spPr>
              <a:ln w="19050" cap="rnd">
                <a:solidFill>
                  <a:schemeClr val="accent2">
                    <a:lumMod val="60000"/>
                  </a:schemeClr>
                </a:solidFill>
                <a:prstDash val="sysDot"/>
              </a:ln>
              <a:effectLst/>
            </c:spPr>
            <c:trendlineType val="linear"/>
            <c:dispRSqr val="0"/>
            <c:dispEq val="0"/>
          </c:trendline>
          <c:xVal>
            <c:numRef>
              <c:f>FUSION3_DH100!$A$54:$A$59</c:f>
              <c:numCache>
                <c:formatCode>General</c:formatCode>
                <c:ptCount val="6"/>
                <c:pt idx="0">
                  <c:v>0</c:v>
                </c:pt>
                <c:pt idx="1">
                  <c:v>100</c:v>
                </c:pt>
                <c:pt idx="2">
                  <c:v>250</c:v>
                </c:pt>
                <c:pt idx="3">
                  <c:v>500</c:v>
                </c:pt>
                <c:pt idx="4">
                  <c:v>750</c:v>
                </c:pt>
                <c:pt idx="5">
                  <c:v>1000</c:v>
                </c:pt>
              </c:numCache>
            </c:numRef>
          </c:xVal>
          <c:yVal>
            <c:numRef>
              <c:f>FUSION3_DH100!$P$54:$P$59</c:f>
              <c:numCache>
                <c:formatCode>0.00</c:formatCode>
                <c:ptCount val="6"/>
                <c:pt idx="0">
                  <c:v>2166.6666666666665</c:v>
                </c:pt>
                <c:pt idx="1">
                  <c:v>1921.6666666666667</c:v>
                </c:pt>
                <c:pt idx="2">
                  <c:v>1865</c:v>
                </c:pt>
                <c:pt idx="3">
                  <c:v>1823.3333333333333</c:v>
                </c:pt>
                <c:pt idx="4">
                  <c:v>1761.6666666666667</c:v>
                </c:pt>
                <c:pt idx="5">
                  <c:v>1730</c:v>
                </c:pt>
              </c:numCache>
            </c:numRef>
          </c:yVal>
          <c:smooth val="0"/>
          <c:extLst>
            <c:ext xmlns:c16="http://schemas.microsoft.com/office/drawing/2014/chart" uri="{C3380CC4-5D6E-409C-BE32-E72D297353CC}">
              <c16:uniqueId val="{0000000E-DA0F-4DB6-9598-6DD5DF8C5CF8}"/>
            </c:ext>
          </c:extLst>
        </c:ser>
        <c:dLbls>
          <c:showLegendKey val="0"/>
          <c:showVal val="0"/>
          <c:showCatName val="0"/>
          <c:showSerName val="0"/>
          <c:showPercent val="0"/>
          <c:showBubbleSize val="0"/>
        </c:dLbls>
        <c:axId val="705849336"/>
        <c:axId val="705839168"/>
      </c:scatterChart>
      <c:valAx>
        <c:axId val="7058493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Pressure (psi)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39168"/>
        <c:crosses val="autoZero"/>
        <c:crossBetween val="midCat"/>
        <c:majorUnit val="100"/>
      </c:valAx>
      <c:valAx>
        <c:axId val="705839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rate</a:t>
                </a:r>
                <a:r>
                  <a:rPr lang="en-US" baseline="0"/>
                  <a:t> (L/d)</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493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200</a:t>
            </a:r>
            <a:r>
              <a:rPr lang="en-US" baseline="0"/>
              <a:t> rpm</a:t>
            </a:r>
          </a:p>
        </c:rich>
      </c:tx>
      <c:layout>
        <c:manualLayout>
          <c:xMode val="edge"/>
          <c:yMode val="edge"/>
          <c:x val="0.36782633420822403"/>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FUSION3_DH100!$V$85:$V$90</c:f>
              <c:numCache>
                <c:formatCode>General</c:formatCode>
                <c:ptCount val="6"/>
                <c:pt idx="0">
                  <c:v>3.37</c:v>
                </c:pt>
                <c:pt idx="1">
                  <c:v>8.4</c:v>
                </c:pt>
                <c:pt idx="2">
                  <c:v>14.4</c:v>
                </c:pt>
                <c:pt idx="3">
                  <c:v>27.6</c:v>
                </c:pt>
                <c:pt idx="4">
                  <c:v>42</c:v>
                </c:pt>
                <c:pt idx="5">
                  <c:v>61.2</c:v>
                </c:pt>
              </c:numCache>
            </c:numRef>
          </c:xVal>
          <c:yVal>
            <c:numRef>
              <c:f>FUSION3_DH100!$W$85:$W$90</c:f>
              <c:numCache>
                <c:formatCode>0.00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0-1EA9-4CCD-A925-76210C688F67}"/>
            </c:ext>
          </c:extLst>
        </c:ser>
        <c:dLbls>
          <c:showLegendKey val="0"/>
          <c:showVal val="0"/>
          <c:showCatName val="0"/>
          <c:showSerName val="0"/>
          <c:showPercent val="0"/>
          <c:showBubbleSize val="0"/>
        </c:dLbls>
        <c:axId val="744525776"/>
        <c:axId val="744525120"/>
      </c:scatterChart>
      <c:valAx>
        <c:axId val="744525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525120"/>
        <c:crosses val="autoZero"/>
        <c:crossBetween val="midCat"/>
      </c:valAx>
      <c:valAx>
        <c:axId val="7445251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5257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100 rpm</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FUSION3_DH100!$T$85:$T$90</c:f>
              <c:numCache>
                <c:formatCode>General</c:formatCode>
                <c:ptCount val="6"/>
                <c:pt idx="0">
                  <c:v>2.27</c:v>
                </c:pt>
                <c:pt idx="1">
                  <c:v>5</c:v>
                </c:pt>
                <c:pt idx="2">
                  <c:v>8</c:v>
                </c:pt>
                <c:pt idx="3">
                  <c:v>15</c:v>
                </c:pt>
                <c:pt idx="4">
                  <c:v>22.000000000000004</c:v>
                </c:pt>
                <c:pt idx="5">
                  <c:v>31</c:v>
                </c:pt>
              </c:numCache>
            </c:numRef>
          </c:xVal>
          <c:yVal>
            <c:numRef>
              <c:f>FUSION3_DH100!$U$85:$U$90</c:f>
              <c:numCache>
                <c:formatCode>0.00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0-3DFB-467D-AAC2-B87352BF293F}"/>
            </c:ext>
          </c:extLst>
        </c:ser>
        <c:dLbls>
          <c:showLegendKey val="0"/>
          <c:showVal val="0"/>
          <c:showCatName val="0"/>
          <c:showSerName val="0"/>
          <c:showPercent val="0"/>
          <c:showBubbleSize val="0"/>
        </c:dLbls>
        <c:axId val="747191888"/>
        <c:axId val="747205664"/>
      </c:scatterChart>
      <c:valAx>
        <c:axId val="747191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205664"/>
        <c:crosses val="autoZero"/>
        <c:crossBetween val="midCat"/>
      </c:valAx>
      <c:valAx>
        <c:axId val="7472056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19188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Sheet1!$A$1</c:f>
              <c:strCache>
                <c:ptCount val="1"/>
                <c:pt idx="0">
                  <c:v>FUSION3 100, DUAL HEAD, 24 VDC</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Sheet1!$A$3:$A$8</c:f>
              <c:numCache>
                <c:formatCode>General</c:formatCode>
                <c:ptCount val="6"/>
                <c:pt idx="0">
                  <c:v>0</c:v>
                </c:pt>
                <c:pt idx="1">
                  <c:v>100</c:v>
                </c:pt>
                <c:pt idx="2">
                  <c:v>250</c:v>
                </c:pt>
                <c:pt idx="3">
                  <c:v>500</c:v>
                </c:pt>
                <c:pt idx="4">
                  <c:v>750</c:v>
                </c:pt>
                <c:pt idx="5">
                  <c:v>1000</c:v>
                </c:pt>
              </c:numCache>
            </c:numRef>
          </c:xVal>
          <c:yVal>
            <c:numRef>
              <c:f>Sheet1!$B$3:$B$8</c:f>
              <c:numCache>
                <c:formatCode>General</c:formatCode>
                <c:ptCount val="6"/>
                <c:pt idx="0">
                  <c:v>2166.67</c:v>
                </c:pt>
                <c:pt idx="1">
                  <c:v>1921.67</c:v>
                </c:pt>
                <c:pt idx="2">
                  <c:v>1865</c:v>
                </c:pt>
                <c:pt idx="3">
                  <c:v>1823.33</c:v>
                </c:pt>
                <c:pt idx="4">
                  <c:v>1761.67</c:v>
                </c:pt>
                <c:pt idx="5">
                  <c:v>1730</c:v>
                </c:pt>
              </c:numCache>
            </c:numRef>
          </c:yVal>
          <c:smooth val="1"/>
          <c:extLst>
            <c:ext xmlns:c16="http://schemas.microsoft.com/office/drawing/2014/chart" uri="{C3380CC4-5D6E-409C-BE32-E72D297353CC}">
              <c16:uniqueId val="{00000001-F966-43F9-AE50-C84C7C21D771}"/>
            </c:ext>
          </c:extLst>
        </c:ser>
        <c:ser>
          <c:idx val="1"/>
          <c:order val="1"/>
          <c:tx>
            <c:strRef>
              <c:f>Sheet1!$A$11</c:f>
              <c:strCache>
                <c:ptCount val="1"/>
                <c:pt idx="0">
                  <c:v>FUSION3 300, SINGLE HEAD, 24 VDC</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3271669219675186"/>
                  <c:y val="3.1908575095345678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Sheet1!$A$13:$A$18</c:f>
              <c:numCache>
                <c:formatCode>General</c:formatCode>
                <c:ptCount val="6"/>
                <c:pt idx="0">
                  <c:v>0</c:v>
                </c:pt>
                <c:pt idx="1">
                  <c:v>100</c:v>
                </c:pt>
                <c:pt idx="2">
                  <c:v>500</c:v>
                </c:pt>
                <c:pt idx="3">
                  <c:v>1000</c:v>
                </c:pt>
                <c:pt idx="4">
                  <c:v>2000</c:v>
                </c:pt>
                <c:pt idx="5">
                  <c:v>3000</c:v>
                </c:pt>
              </c:numCache>
            </c:numRef>
          </c:xVal>
          <c:yVal>
            <c:numRef>
              <c:f>Sheet1!$B$13:$B$18</c:f>
              <c:numCache>
                <c:formatCode>General</c:formatCode>
                <c:ptCount val="6"/>
                <c:pt idx="0">
                  <c:v>368.55</c:v>
                </c:pt>
                <c:pt idx="1">
                  <c:v>359.46</c:v>
                </c:pt>
                <c:pt idx="2">
                  <c:v>349.01</c:v>
                </c:pt>
                <c:pt idx="3">
                  <c:v>336.21</c:v>
                </c:pt>
                <c:pt idx="4">
                  <c:v>322.39999999999998</c:v>
                </c:pt>
                <c:pt idx="5">
                  <c:v>308.25</c:v>
                </c:pt>
              </c:numCache>
            </c:numRef>
          </c:yVal>
          <c:smooth val="1"/>
          <c:extLst>
            <c:ext xmlns:c16="http://schemas.microsoft.com/office/drawing/2014/chart" uri="{C3380CC4-5D6E-409C-BE32-E72D297353CC}">
              <c16:uniqueId val="{00000003-F966-43F9-AE50-C84C7C21D771}"/>
            </c:ext>
          </c:extLst>
        </c:ser>
        <c:ser>
          <c:idx val="2"/>
          <c:order val="2"/>
          <c:tx>
            <c:strRef>
              <c:f>Sheet1!$A$21</c:f>
              <c:strCache>
                <c:ptCount val="1"/>
                <c:pt idx="0">
                  <c:v>FUSION3 300, DUAL HEAD, 24 VDC</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1.6157856547795006E-4"/>
                  <c:y val="-3.474408653077958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Sheet1!$A$23:$A$28</c:f>
              <c:numCache>
                <c:formatCode>General</c:formatCode>
                <c:ptCount val="6"/>
                <c:pt idx="0">
                  <c:v>0</c:v>
                </c:pt>
                <c:pt idx="1">
                  <c:v>100</c:v>
                </c:pt>
                <c:pt idx="2">
                  <c:v>500</c:v>
                </c:pt>
                <c:pt idx="3">
                  <c:v>1000</c:v>
                </c:pt>
                <c:pt idx="4">
                  <c:v>2000</c:v>
                </c:pt>
                <c:pt idx="5">
                  <c:v>3000</c:v>
                </c:pt>
              </c:numCache>
            </c:numRef>
          </c:xVal>
          <c:yVal>
            <c:numRef>
              <c:f>Sheet1!$B$23:$B$28</c:f>
              <c:numCache>
                <c:formatCode>General</c:formatCode>
                <c:ptCount val="6"/>
                <c:pt idx="0">
                  <c:v>739.12</c:v>
                </c:pt>
                <c:pt idx="1">
                  <c:v>711.5</c:v>
                </c:pt>
                <c:pt idx="2">
                  <c:v>693.64</c:v>
                </c:pt>
                <c:pt idx="3">
                  <c:v>672.76</c:v>
                </c:pt>
                <c:pt idx="4">
                  <c:v>626.94000000000005</c:v>
                </c:pt>
                <c:pt idx="5">
                  <c:v>584.49</c:v>
                </c:pt>
              </c:numCache>
            </c:numRef>
          </c:yVal>
          <c:smooth val="1"/>
          <c:extLst>
            <c:ext xmlns:c16="http://schemas.microsoft.com/office/drawing/2014/chart" uri="{C3380CC4-5D6E-409C-BE32-E72D297353CC}">
              <c16:uniqueId val="{00000005-F966-43F9-AE50-C84C7C21D771}"/>
            </c:ext>
          </c:extLst>
        </c:ser>
        <c:ser>
          <c:idx val="3"/>
          <c:order val="3"/>
          <c:tx>
            <c:strRef>
              <c:f>Sheet1!$A$31</c:f>
              <c:strCache>
                <c:ptCount val="1"/>
                <c:pt idx="0">
                  <c:v>FUSION3 500, SINGLE HEAD, 24 VDC</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1.0507421640554316E-2"/>
                  <c:y val="3.5460889969398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Sheet1!$A$33:$A$38</c:f>
              <c:numCache>
                <c:formatCode>General</c:formatCode>
                <c:ptCount val="6"/>
                <c:pt idx="0">
                  <c:v>0</c:v>
                </c:pt>
                <c:pt idx="1">
                  <c:v>500</c:v>
                </c:pt>
                <c:pt idx="2">
                  <c:v>1000</c:v>
                </c:pt>
                <c:pt idx="3">
                  <c:v>3000</c:v>
                </c:pt>
                <c:pt idx="4">
                  <c:v>4000</c:v>
                </c:pt>
                <c:pt idx="5">
                  <c:v>4350</c:v>
                </c:pt>
              </c:numCache>
            </c:numRef>
          </c:xVal>
          <c:yVal>
            <c:numRef>
              <c:f>Sheet1!$B$33:$B$38</c:f>
              <c:numCache>
                <c:formatCode>General</c:formatCode>
                <c:ptCount val="6"/>
                <c:pt idx="0">
                  <c:v>257.72000000000003</c:v>
                </c:pt>
                <c:pt idx="1">
                  <c:v>242.56</c:v>
                </c:pt>
                <c:pt idx="2">
                  <c:v>237.5</c:v>
                </c:pt>
                <c:pt idx="3">
                  <c:v>212.24</c:v>
                </c:pt>
                <c:pt idx="4">
                  <c:v>202.13</c:v>
                </c:pt>
                <c:pt idx="5">
                  <c:v>200.09</c:v>
                </c:pt>
              </c:numCache>
            </c:numRef>
          </c:yVal>
          <c:smooth val="1"/>
          <c:extLst>
            <c:ext xmlns:c16="http://schemas.microsoft.com/office/drawing/2014/chart" uri="{C3380CC4-5D6E-409C-BE32-E72D297353CC}">
              <c16:uniqueId val="{00000007-F966-43F9-AE50-C84C7C21D771}"/>
            </c:ext>
          </c:extLst>
        </c:ser>
        <c:ser>
          <c:idx val="4"/>
          <c:order val="4"/>
          <c:tx>
            <c:strRef>
              <c:f>Sheet1!$A$42</c:f>
              <c:strCache>
                <c:ptCount val="1"/>
                <c:pt idx="0">
                  <c:v>FUSION3 500, DUAL HEAD, 24 VDC</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0"/>
            <c:dispEq val="1"/>
            <c:trendlineLbl>
              <c:layout>
                <c:manualLayout>
                  <c:x val="4.0370902869223256E-2"/>
                  <c:y val="-3.563620761326735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Sheet1!$A$44:$A$49</c:f>
              <c:numCache>
                <c:formatCode>General</c:formatCode>
                <c:ptCount val="6"/>
                <c:pt idx="0">
                  <c:v>0</c:v>
                </c:pt>
                <c:pt idx="1">
                  <c:v>500</c:v>
                </c:pt>
                <c:pt idx="2">
                  <c:v>1000</c:v>
                </c:pt>
                <c:pt idx="3">
                  <c:v>3000</c:v>
                </c:pt>
                <c:pt idx="4">
                  <c:v>4000</c:v>
                </c:pt>
                <c:pt idx="5">
                  <c:v>4350</c:v>
                </c:pt>
              </c:numCache>
            </c:numRef>
          </c:xVal>
          <c:yVal>
            <c:numRef>
              <c:f>Sheet1!$B$44:$B$49</c:f>
              <c:numCache>
                <c:formatCode>General</c:formatCode>
                <c:ptCount val="6"/>
                <c:pt idx="0">
                  <c:v>525.54</c:v>
                </c:pt>
                <c:pt idx="1">
                  <c:v>495.22</c:v>
                </c:pt>
                <c:pt idx="2">
                  <c:v>480.06</c:v>
                </c:pt>
                <c:pt idx="3">
                  <c:v>439.63</c:v>
                </c:pt>
                <c:pt idx="4">
                  <c:v>394.15</c:v>
                </c:pt>
                <c:pt idx="5">
                  <c:v>381.97</c:v>
                </c:pt>
              </c:numCache>
            </c:numRef>
          </c:yVal>
          <c:smooth val="1"/>
          <c:extLst>
            <c:ext xmlns:c16="http://schemas.microsoft.com/office/drawing/2014/chart" uri="{C3380CC4-5D6E-409C-BE32-E72D297353CC}">
              <c16:uniqueId val="{00000009-F966-43F9-AE50-C84C7C21D771}"/>
            </c:ext>
          </c:extLst>
        </c:ser>
        <c:dLbls>
          <c:showLegendKey val="0"/>
          <c:showVal val="0"/>
          <c:showCatName val="0"/>
          <c:showSerName val="0"/>
          <c:showPercent val="0"/>
          <c:showBubbleSize val="0"/>
        </c:dLbls>
        <c:axId val="2087292912"/>
        <c:axId val="2087299392"/>
      </c:scatterChart>
      <c:valAx>
        <c:axId val="20872929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7299392"/>
        <c:crosses val="autoZero"/>
        <c:crossBetween val="midCat"/>
      </c:valAx>
      <c:valAx>
        <c:axId val="2087299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729291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eff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FUSION3_DH100!$B$54</c:f>
              <c:strCache>
                <c:ptCount val="1"/>
                <c:pt idx="0">
                  <c:v>1100</c:v>
                </c:pt>
              </c:strCache>
            </c:strRef>
          </c:tx>
          <c:spPr>
            <a:ln w="19050" cap="rnd">
              <a:solidFill>
                <a:schemeClr val="accent1"/>
              </a:solidFill>
              <a:round/>
            </a:ln>
            <a:effectLst/>
          </c:spPr>
          <c:marker>
            <c:symbol val="none"/>
          </c:marker>
          <c:xVal>
            <c:numRef>
              <c:f>FUSION3_DH100!$A$54:$A$59</c:f>
              <c:numCache>
                <c:formatCode>General</c:formatCode>
                <c:ptCount val="6"/>
                <c:pt idx="0">
                  <c:v>0</c:v>
                </c:pt>
                <c:pt idx="1">
                  <c:v>100</c:v>
                </c:pt>
                <c:pt idx="2">
                  <c:v>250</c:v>
                </c:pt>
                <c:pt idx="3">
                  <c:v>500</c:v>
                </c:pt>
                <c:pt idx="4">
                  <c:v>750</c:v>
                </c:pt>
                <c:pt idx="5">
                  <c:v>1000</c:v>
                </c:pt>
              </c:numCache>
            </c:numRef>
          </c:xVal>
          <c:yVal>
            <c:numRef>
              <c:f>FUSION3_DH100!$R$54:$R$59</c:f>
              <c:numCache>
                <c:formatCode>0%</c:formatCode>
                <c:ptCount val="6"/>
                <c:pt idx="0">
                  <c:v>0</c:v>
                </c:pt>
                <c:pt idx="1">
                  <c:v>0.3577877877877878</c:v>
                </c:pt>
                <c:pt idx="2">
                  <c:v>0.53591954022988519</c:v>
                </c:pt>
                <c:pt idx="3">
                  <c:v>0.64657210401891274</c:v>
                </c:pt>
                <c:pt idx="4">
                  <c:v>0.68815104166666674</c:v>
                </c:pt>
                <c:pt idx="5">
                  <c:v>0.77404921700223717</c:v>
                </c:pt>
              </c:numCache>
            </c:numRef>
          </c:yVal>
          <c:smooth val="0"/>
          <c:extLst>
            <c:ext xmlns:c16="http://schemas.microsoft.com/office/drawing/2014/chart" uri="{C3380CC4-5D6E-409C-BE32-E72D297353CC}">
              <c16:uniqueId val="{00000000-D541-4F70-A37B-417413469A1D}"/>
            </c:ext>
          </c:extLst>
        </c:ser>
        <c:ser>
          <c:idx val="1"/>
          <c:order val="1"/>
          <c:tx>
            <c:strRef>
              <c:f>FUSION3_DH100!$B$40</c:f>
              <c:strCache>
                <c:ptCount val="1"/>
                <c:pt idx="0">
                  <c:v>800</c:v>
                </c:pt>
              </c:strCache>
            </c:strRef>
          </c:tx>
          <c:spPr>
            <a:ln w="19050" cap="rnd">
              <a:solidFill>
                <a:schemeClr val="accent2"/>
              </a:solidFill>
              <a:round/>
            </a:ln>
            <a:effectLst/>
          </c:spPr>
          <c:marker>
            <c:symbol val="none"/>
          </c:marker>
          <c:xVal>
            <c:numRef>
              <c:f>FUSION3_DH100!$A$40:$A$45</c:f>
              <c:numCache>
                <c:formatCode>General</c:formatCode>
                <c:ptCount val="6"/>
                <c:pt idx="0">
                  <c:v>0</c:v>
                </c:pt>
                <c:pt idx="1">
                  <c:v>100</c:v>
                </c:pt>
                <c:pt idx="2">
                  <c:v>250</c:v>
                </c:pt>
                <c:pt idx="3">
                  <c:v>500</c:v>
                </c:pt>
                <c:pt idx="4">
                  <c:v>750</c:v>
                </c:pt>
                <c:pt idx="5">
                  <c:v>1000</c:v>
                </c:pt>
              </c:numCache>
            </c:numRef>
          </c:xVal>
          <c:yVal>
            <c:numRef>
              <c:f>FUSION3_DH100!$R$40:$R$45</c:f>
              <c:numCache>
                <c:formatCode>0%</c:formatCode>
                <c:ptCount val="6"/>
                <c:pt idx="0">
                  <c:v>0</c:v>
                </c:pt>
                <c:pt idx="1">
                  <c:v>0.34206896551724142</c:v>
                </c:pt>
                <c:pt idx="2">
                  <c:v>0.53580246913580243</c:v>
                </c:pt>
                <c:pt idx="3">
                  <c:v>0.65700483091787454</c:v>
                </c:pt>
                <c:pt idx="4">
                  <c:v>0.6621359223300971</c:v>
                </c:pt>
                <c:pt idx="5">
                  <c:v>0.68888888888888888</c:v>
                </c:pt>
              </c:numCache>
            </c:numRef>
          </c:yVal>
          <c:smooth val="0"/>
          <c:extLst>
            <c:ext xmlns:c16="http://schemas.microsoft.com/office/drawing/2014/chart" uri="{C3380CC4-5D6E-409C-BE32-E72D297353CC}">
              <c16:uniqueId val="{00000001-D541-4F70-A37B-417413469A1D}"/>
            </c:ext>
          </c:extLst>
        </c:ser>
        <c:ser>
          <c:idx val="2"/>
          <c:order val="2"/>
          <c:tx>
            <c:strRef>
              <c:f>FUSION3_DH100!$B$33</c:f>
              <c:strCache>
                <c:ptCount val="1"/>
                <c:pt idx="0">
                  <c:v>600</c:v>
                </c:pt>
              </c:strCache>
            </c:strRef>
          </c:tx>
          <c:spPr>
            <a:ln w="19050" cap="rnd">
              <a:solidFill>
                <a:schemeClr val="accent3"/>
              </a:solidFill>
              <a:round/>
            </a:ln>
            <a:effectLst/>
          </c:spPr>
          <c:marker>
            <c:symbol val="none"/>
          </c:marker>
          <c:xVal>
            <c:numRef>
              <c:f>FUSION3_DH100!$A$33:$A$38</c:f>
              <c:numCache>
                <c:formatCode>General</c:formatCode>
                <c:ptCount val="6"/>
                <c:pt idx="0">
                  <c:v>0</c:v>
                </c:pt>
                <c:pt idx="1">
                  <c:v>100</c:v>
                </c:pt>
                <c:pt idx="2">
                  <c:v>250</c:v>
                </c:pt>
                <c:pt idx="3">
                  <c:v>500</c:v>
                </c:pt>
                <c:pt idx="4">
                  <c:v>750</c:v>
                </c:pt>
                <c:pt idx="5">
                  <c:v>1000</c:v>
                </c:pt>
              </c:numCache>
            </c:numRef>
          </c:xVal>
          <c:yVal>
            <c:numRef>
              <c:f>FUSION3_DH100!$R$33:$R$38</c:f>
              <c:numCache>
                <c:formatCode>0%</c:formatCode>
                <c:ptCount val="6"/>
                <c:pt idx="0">
                  <c:v>0</c:v>
                </c:pt>
                <c:pt idx="1">
                  <c:v>0.29814814814814811</c:v>
                </c:pt>
                <c:pt idx="2">
                  <c:v>0.50470679012345687</c:v>
                </c:pt>
                <c:pt idx="3">
                  <c:v>0.62962962962962976</c:v>
                </c:pt>
                <c:pt idx="4">
                  <c:v>0.63846899224806219</c:v>
                </c:pt>
                <c:pt idx="5">
                  <c:v>0.64000000000000012</c:v>
                </c:pt>
              </c:numCache>
            </c:numRef>
          </c:yVal>
          <c:smooth val="0"/>
          <c:extLst>
            <c:ext xmlns:c16="http://schemas.microsoft.com/office/drawing/2014/chart" uri="{C3380CC4-5D6E-409C-BE32-E72D297353CC}">
              <c16:uniqueId val="{00000002-D541-4F70-A37B-417413469A1D}"/>
            </c:ext>
          </c:extLst>
        </c:ser>
        <c:ser>
          <c:idx val="3"/>
          <c:order val="3"/>
          <c:tx>
            <c:strRef>
              <c:f>FUSION3_DH100!$B$26</c:f>
              <c:strCache>
                <c:ptCount val="1"/>
                <c:pt idx="0">
                  <c:v>400</c:v>
                </c:pt>
              </c:strCache>
            </c:strRef>
          </c:tx>
          <c:spPr>
            <a:ln w="19050" cap="rnd">
              <a:solidFill>
                <a:schemeClr val="accent4"/>
              </a:solidFill>
              <a:round/>
            </a:ln>
            <a:effectLst/>
          </c:spPr>
          <c:marker>
            <c:symbol val="none"/>
          </c:marker>
          <c:xVal>
            <c:numRef>
              <c:f>FUSION3_DH100!$A$26:$A$31</c:f>
              <c:numCache>
                <c:formatCode>General</c:formatCode>
                <c:ptCount val="6"/>
                <c:pt idx="0">
                  <c:v>0</c:v>
                </c:pt>
                <c:pt idx="1">
                  <c:v>100</c:v>
                </c:pt>
                <c:pt idx="2">
                  <c:v>250</c:v>
                </c:pt>
                <c:pt idx="3">
                  <c:v>500</c:v>
                </c:pt>
                <c:pt idx="4">
                  <c:v>750</c:v>
                </c:pt>
                <c:pt idx="5">
                  <c:v>1000</c:v>
                </c:pt>
              </c:numCache>
            </c:numRef>
          </c:xVal>
          <c:yVal>
            <c:numRef>
              <c:f>FUSION3_DH100!$R$26:$R$31</c:f>
              <c:numCache>
                <c:formatCode>0%</c:formatCode>
                <c:ptCount val="6"/>
                <c:pt idx="0">
                  <c:v>0</c:v>
                </c:pt>
                <c:pt idx="1">
                  <c:v>0.35200000000000004</c:v>
                </c:pt>
                <c:pt idx="2">
                  <c:v>0.51449275362318847</c:v>
                </c:pt>
                <c:pt idx="3">
                  <c:v>0.58974358974358976</c:v>
                </c:pt>
                <c:pt idx="4">
                  <c:v>0.57619047619047614</c:v>
                </c:pt>
                <c:pt idx="5">
                  <c:v>0.56524216524216531</c:v>
                </c:pt>
              </c:numCache>
            </c:numRef>
          </c:yVal>
          <c:smooth val="0"/>
          <c:extLst>
            <c:ext xmlns:c16="http://schemas.microsoft.com/office/drawing/2014/chart" uri="{C3380CC4-5D6E-409C-BE32-E72D297353CC}">
              <c16:uniqueId val="{00000003-D541-4F70-A37B-417413469A1D}"/>
            </c:ext>
          </c:extLst>
        </c:ser>
        <c:dLbls>
          <c:showLegendKey val="0"/>
          <c:showVal val="0"/>
          <c:showCatName val="0"/>
          <c:showSerName val="0"/>
          <c:showPercent val="0"/>
          <c:showBubbleSize val="0"/>
        </c:dLbls>
        <c:axId val="1526442784"/>
        <c:axId val="1526427424"/>
      </c:scatterChart>
      <c:valAx>
        <c:axId val="1526442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427424"/>
        <c:crosses val="autoZero"/>
        <c:crossBetween val="midCat"/>
      </c:valAx>
      <c:valAx>
        <c:axId val="1526427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44278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Fusion3 300</a:t>
            </a:r>
          </a:p>
        </c:rich>
      </c:tx>
      <c:layout>
        <c:manualLayout>
          <c:xMode val="edge"/>
          <c:yMode val="edge"/>
          <c:x val="0.30150113401050277"/>
          <c:y val="2.17821204808531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FUSION3_SH300!$B$47</c:f>
              <c:strCache>
                <c:ptCount val="1"/>
                <c:pt idx="0">
                  <c:v>1000</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1.4594119979606865E-2"/>
                  <c:y val="-0.1451468566429196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FUSION3_SH300!$A$47:$A$52</c:f>
              <c:numCache>
                <c:formatCode>General</c:formatCode>
                <c:ptCount val="6"/>
                <c:pt idx="0">
                  <c:v>0</c:v>
                </c:pt>
                <c:pt idx="1">
                  <c:v>100</c:v>
                </c:pt>
                <c:pt idx="2">
                  <c:v>500</c:v>
                </c:pt>
                <c:pt idx="3">
                  <c:v>1000</c:v>
                </c:pt>
                <c:pt idx="4">
                  <c:v>2000</c:v>
                </c:pt>
                <c:pt idx="5">
                  <c:v>3000</c:v>
                </c:pt>
              </c:numCache>
            </c:numRef>
          </c:xVal>
          <c:yVal>
            <c:numRef>
              <c:f>FUSION3_SH300!$P$47:$P$52</c:f>
              <c:numCache>
                <c:formatCode>0.00</c:formatCode>
                <c:ptCount val="6"/>
                <c:pt idx="0">
                  <c:v>338.90539330982881</c:v>
                </c:pt>
                <c:pt idx="1">
                  <c:v>330.82017517917683</c:v>
                </c:pt>
                <c:pt idx="2">
                  <c:v>322.39807295974765</c:v>
                </c:pt>
                <c:pt idx="3">
                  <c:v>310.6071298525469</c:v>
                </c:pt>
                <c:pt idx="4">
                  <c:v>297.80553447901457</c:v>
                </c:pt>
                <c:pt idx="5">
                  <c:v>285.34082319425943</c:v>
                </c:pt>
              </c:numCache>
            </c:numRef>
          </c:yVal>
          <c:smooth val="0"/>
          <c:extLst>
            <c:ext xmlns:c16="http://schemas.microsoft.com/office/drawing/2014/chart" uri="{C3380CC4-5D6E-409C-BE32-E72D297353CC}">
              <c16:uniqueId val="{00000001-0391-4848-8F06-ECC9692DFAB5}"/>
            </c:ext>
          </c:extLst>
        </c:ser>
        <c:ser>
          <c:idx val="1"/>
          <c:order val="1"/>
          <c:tx>
            <c:strRef>
              <c:f>FUSION3_SH300!$B$40</c:f>
              <c:strCache>
                <c:ptCount val="1"/>
                <c:pt idx="0">
                  <c:v>800</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0"/>
            <c:dispEq val="0"/>
          </c:trendline>
          <c:xVal>
            <c:numRef>
              <c:f>FUSION3_SH300!$A$40:$A$45</c:f>
              <c:numCache>
                <c:formatCode>General</c:formatCode>
                <c:ptCount val="6"/>
                <c:pt idx="0">
                  <c:v>0</c:v>
                </c:pt>
                <c:pt idx="1">
                  <c:v>100</c:v>
                </c:pt>
                <c:pt idx="2">
                  <c:v>500</c:v>
                </c:pt>
                <c:pt idx="3">
                  <c:v>1000</c:v>
                </c:pt>
                <c:pt idx="4">
                  <c:v>2000</c:v>
                </c:pt>
                <c:pt idx="5">
                  <c:v>3000</c:v>
                </c:pt>
              </c:numCache>
            </c:numRef>
          </c:xVal>
          <c:yVal>
            <c:numRef>
              <c:f>FUSION3_SH300!$P$40:$P$45</c:f>
              <c:numCache>
                <c:formatCode>0.00</c:formatCode>
                <c:ptCount val="6"/>
                <c:pt idx="0">
                  <c:v>269.17038693295552</c:v>
                </c:pt>
                <c:pt idx="1">
                  <c:v>263.10647333496649</c:v>
                </c:pt>
                <c:pt idx="2">
                  <c:v>255.35813929309168</c:v>
                </c:pt>
                <c:pt idx="3">
                  <c:v>248.28357342877121</c:v>
                </c:pt>
                <c:pt idx="4">
                  <c:v>232.45002125624441</c:v>
                </c:pt>
                <c:pt idx="5">
                  <c:v>171.59783994972463</c:v>
                </c:pt>
              </c:numCache>
            </c:numRef>
          </c:yVal>
          <c:smooth val="0"/>
          <c:extLst>
            <c:ext xmlns:c16="http://schemas.microsoft.com/office/drawing/2014/chart" uri="{C3380CC4-5D6E-409C-BE32-E72D297353CC}">
              <c16:uniqueId val="{00000003-0391-4848-8F06-ECC9692DFAB5}"/>
            </c:ext>
          </c:extLst>
        </c:ser>
        <c:ser>
          <c:idx val="2"/>
          <c:order val="2"/>
          <c:tx>
            <c:strRef>
              <c:f>FUSION3_SH300!$B$33</c:f>
              <c:strCache>
                <c:ptCount val="1"/>
                <c:pt idx="0">
                  <c:v>600</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0"/>
            <c:dispEq val="0"/>
          </c:trendline>
          <c:xVal>
            <c:numRef>
              <c:f>FUSION3_SH300!$A$33:$A$38</c:f>
              <c:numCache>
                <c:formatCode>General</c:formatCode>
                <c:ptCount val="6"/>
                <c:pt idx="0">
                  <c:v>0</c:v>
                </c:pt>
                <c:pt idx="1">
                  <c:v>100</c:v>
                </c:pt>
                <c:pt idx="2">
                  <c:v>500</c:v>
                </c:pt>
                <c:pt idx="3">
                  <c:v>1000</c:v>
                </c:pt>
                <c:pt idx="4">
                  <c:v>2000</c:v>
                </c:pt>
                <c:pt idx="5">
                  <c:v>3000</c:v>
                </c:pt>
              </c:numCache>
            </c:numRef>
          </c:xVal>
          <c:yVal>
            <c:numRef>
              <c:f>FUSION3_SH300!$P$33:$P$38</c:f>
              <c:numCache>
                <c:formatCode>0.00</c:formatCode>
                <c:ptCount val="6"/>
                <c:pt idx="0">
                  <c:v>202.13045326629947</c:v>
                </c:pt>
                <c:pt idx="1">
                  <c:v>200.10914873363649</c:v>
                </c:pt>
                <c:pt idx="2">
                  <c:v>195.72965557953333</c:v>
                </c:pt>
                <c:pt idx="3">
                  <c:v>187.30755336010418</c:v>
                </c:pt>
                <c:pt idx="4">
                  <c:v>178.88545114067506</c:v>
                </c:pt>
                <c:pt idx="5">
                  <c:v>171.47400118757741</c:v>
                </c:pt>
              </c:numCache>
            </c:numRef>
          </c:yVal>
          <c:smooth val="0"/>
          <c:extLst>
            <c:ext xmlns:c16="http://schemas.microsoft.com/office/drawing/2014/chart" uri="{C3380CC4-5D6E-409C-BE32-E72D297353CC}">
              <c16:uniqueId val="{00000005-0391-4848-8F06-ECC9692DFAB5}"/>
            </c:ext>
          </c:extLst>
        </c:ser>
        <c:ser>
          <c:idx val="3"/>
          <c:order val="3"/>
          <c:tx>
            <c:strRef>
              <c:f>FUSION3_SH300!$B$26</c:f>
              <c:strCache>
                <c:ptCount val="1"/>
                <c:pt idx="0">
                  <c:v>400</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ly"/>
            <c:order val="2"/>
            <c:dispRSqr val="0"/>
            <c:dispEq val="0"/>
          </c:trendline>
          <c:xVal>
            <c:numRef>
              <c:f>FUSION3_SH300!$A$26:$A$31</c:f>
              <c:numCache>
                <c:formatCode>General</c:formatCode>
                <c:ptCount val="6"/>
                <c:pt idx="0">
                  <c:v>0</c:v>
                </c:pt>
                <c:pt idx="1">
                  <c:v>100</c:v>
                </c:pt>
                <c:pt idx="2">
                  <c:v>500</c:v>
                </c:pt>
                <c:pt idx="3">
                  <c:v>1000</c:v>
                </c:pt>
                <c:pt idx="4">
                  <c:v>2000</c:v>
                </c:pt>
                <c:pt idx="5">
                  <c:v>3000</c:v>
                </c:pt>
              </c:numCache>
            </c:numRef>
          </c:xVal>
          <c:yVal>
            <c:numRef>
              <c:f>FUSION3_SH300!$P$26:$P$31</c:f>
              <c:numCache>
                <c:formatCode>0.00</c:formatCode>
                <c:ptCount val="6"/>
                <c:pt idx="0">
                  <c:v>137</c:v>
                </c:pt>
                <c:pt idx="1">
                  <c:v>135</c:v>
                </c:pt>
                <c:pt idx="2">
                  <c:v>131</c:v>
                </c:pt>
                <c:pt idx="3">
                  <c:v>127</c:v>
                </c:pt>
                <c:pt idx="4">
                  <c:v>123</c:v>
                </c:pt>
                <c:pt idx="5">
                  <c:v>115</c:v>
                </c:pt>
              </c:numCache>
            </c:numRef>
          </c:yVal>
          <c:smooth val="0"/>
          <c:extLst>
            <c:ext xmlns:c16="http://schemas.microsoft.com/office/drawing/2014/chart" uri="{C3380CC4-5D6E-409C-BE32-E72D297353CC}">
              <c16:uniqueId val="{00000007-0391-4848-8F06-ECC9692DFAB5}"/>
            </c:ext>
          </c:extLst>
        </c:ser>
        <c:ser>
          <c:idx val="4"/>
          <c:order val="4"/>
          <c:tx>
            <c:strRef>
              <c:f>FUSION3_SH300!$B$19</c:f>
              <c:strCache>
                <c:ptCount val="1"/>
                <c:pt idx="0">
                  <c:v>200</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wer"/>
            <c:dispRSqr val="0"/>
            <c:dispEq val="0"/>
          </c:trendline>
          <c:trendline>
            <c:spPr>
              <a:ln w="19050" cap="rnd">
                <a:solidFill>
                  <a:schemeClr val="accent5"/>
                </a:solidFill>
                <a:prstDash val="sysDot"/>
              </a:ln>
              <a:effectLst/>
            </c:spPr>
            <c:trendlineType val="poly"/>
            <c:order val="2"/>
            <c:dispRSqr val="0"/>
            <c:dispEq val="0"/>
          </c:trendline>
          <c:xVal>
            <c:numRef>
              <c:f>FUSION3_SH300!$A$19:$A$24</c:f>
              <c:numCache>
                <c:formatCode>General</c:formatCode>
                <c:ptCount val="6"/>
                <c:pt idx="0">
                  <c:v>0</c:v>
                </c:pt>
                <c:pt idx="1">
                  <c:v>100</c:v>
                </c:pt>
                <c:pt idx="2">
                  <c:v>500</c:v>
                </c:pt>
                <c:pt idx="3">
                  <c:v>1000</c:v>
                </c:pt>
                <c:pt idx="4">
                  <c:v>2000</c:v>
                </c:pt>
                <c:pt idx="5">
                  <c:v>3000</c:v>
                </c:pt>
              </c:numCache>
            </c:numRef>
          </c:xVal>
          <c:yVal>
            <c:numRef>
              <c:f>FUSION3_SH300!$W$19:$W$24</c:f>
              <c:numCache>
                <c:formatCode>General</c:formatCode>
                <c:ptCount val="6"/>
              </c:numCache>
            </c:numRef>
          </c:yVal>
          <c:smooth val="0"/>
          <c:extLst>
            <c:ext xmlns:c16="http://schemas.microsoft.com/office/drawing/2014/chart" uri="{C3380CC4-5D6E-409C-BE32-E72D297353CC}">
              <c16:uniqueId val="{0000000A-0391-4848-8F06-ECC9692DFAB5}"/>
            </c:ext>
          </c:extLst>
        </c:ser>
        <c:ser>
          <c:idx val="5"/>
          <c:order val="5"/>
          <c:tx>
            <c:strRef>
              <c:f>FUSION3_SH300!$B$12</c:f>
              <c:strCache>
                <c:ptCount val="1"/>
                <c:pt idx="0">
                  <c:v>100</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0"/>
            <c:dispEq val="0"/>
          </c:trendline>
          <c:xVal>
            <c:numRef>
              <c:f>FUSION3_SH300!$A$12:$A$17</c:f>
              <c:numCache>
                <c:formatCode>General</c:formatCode>
                <c:ptCount val="6"/>
                <c:pt idx="0">
                  <c:v>0</c:v>
                </c:pt>
                <c:pt idx="1">
                  <c:v>100</c:v>
                </c:pt>
                <c:pt idx="2">
                  <c:v>500</c:v>
                </c:pt>
                <c:pt idx="3">
                  <c:v>1000</c:v>
                </c:pt>
                <c:pt idx="4">
                  <c:v>2000</c:v>
                </c:pt>
                <c:pt idx="5">
                  <c:v>3000</c:v>
                </c:pt>
              </c:numCache>
            </c:numRef>
          </c:xVal>
          <c:yVal>
            <c:numRef>
              <c:f>FUSION3_SH300!$W$12:$W$17</c:f>
              <c:numCache>
                <c:formatCode>General</c:formatCode>
                <c:ptCount val="6"/>
              </c:numCache>
            </c:numRef>
          </c:yVal>
          <c:smooth val="0"/>
          <c:extLst>
            <c:ext xmlns:c16="http://schemas.microsoft.com/office/drawing/2014/chart" uri="{C3380CC4-5D6E-409C-BE32-E72D297353CC}">
              <c16:uniqueId val="{0000000C-0391-4848-8F06-ECC9692DFAB5}"/>
            </c:ext>
          </c:extLst>
        </c:ser>
        <c:ser>
          <c:idx val="6"/>
          <c:order val="6"/>
          <c:tx>
            <c:strRef>
              <c:f>FUSION3_SH300!$Y$65</c:f>
              <c:strCache>
                <c:ptCount val="1"/>
                <c:pt idx="0">
                  <c:v>1100</c:v>
                </c:pt>
              </c:strCache>
            </c:strRef>
          </c:tx>
          <c:spPr>
            <a:ln w="19050"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xVal>
            <c:numRef>
              <c:f>FUSION3_SH300!$R$66:$R$71</c:f>
              <c:numCache>
                <c:formatCode>General</c:formatCode>
                <c:ptCount val="6"/>
                <c:pt idx="0">
                  <c:v>0</c:v>
                </c:pt>
                <c:pt idx="1">
                  <c:v>100</c:v>
                </c:pt>
                <c:pt idx="2">
                  <c:v>500</c:v>
                </c:pt>
                <c:pt idx="3">
                  <c:v>1000</c:v>
                </c:pt>
                <c:pt idx="4">
                  <c:v>2000</c:v>
                </c:pt>
                <c:pt idx="5">
                  <c:v>3000</c:v>
                </c:pt>
              </c:numCache>
            </c:numRef>
          </c:xVal>
          <c:yVal>
            <c:numRef>
              <c:f>FUSION3_SH300!$Y$66:$Y$71</c:f>
              <c:numCache>
                <c:formatCode>0.00</c:formatCode>
                <c:ptCount val="6"/>
                <c:pt idx="0">
                  <c:v>368.55119312221933</c:v>
                </c:pt>
                <c:pt idx="1">
                  <c:v>359.45532272523587</c:v>
                </c:pt>
                <c:pt idx="2">
                  <c:v>349.01191597314374</c:v>
                </c:pt>
                <c:pt idx="3">
                  <c:v>336.21032059961152</c:v>
                </c:pt>
                <c:pt idx="4">
                  <c:v>322.39807295974765</c:v>
                </c:pt>
                <c:pt idx="5">
                  <c:v>308.2489412311067</c:v>
                </c:pt>
              </c:numCache>
            </c:numRef>
          </c:yVal>
          <c:smooth val="0"/>
          <c:extLst>
            <c:ext xmlns:c16="http://schemas.microsoft.com/office/drawing/2014/chart" uri="{C3380CC4-5D6E-409C-BE32-E72D297353CC}">
              <c16:uniqueId val="{0000000D-0391-4848-8F06-ECC9692DFAB5}"/>
            </c:ext>
          </c:extLst>
        </c:ser>
        <c:ser>
          <c:idx val="7"/>
          <c:order val="7"/>
          <c:tx>
            <c:strRef>
              <c:f>FUSION3_SH300!$B$54</c:f>
              <c:strCache>
                <c:ptCount val="1"/>
                <c:pt idx="0">
                  <c:v>1100</c:v>
                </c:pt>
              </c:strCache>
            </c:strRef>
          </c:tx>
          <c:spPr>
            <a:ln w="19050"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trendline>
            <c:spPr>
              <a:ln w="19050" cap="rnd">
                <a:solidFill>
                  <a:schemeClr val="accent2">
                    <a:lumMod val="60000"/>
                  </a:schemeClr>
                </a:solidFill>
                <a:prstDash val="sysDot"/>
              </a:ln>
              <a:effectLst/>
            </c:spPr>
            <c:trendlineType val="linear"/>
            <c:dispRSqr val="0"/>
            <c:dispEq val="0"/>
          </c:trendline>
          <c:xVal>
            <c:numRef>
              <c:f>FUSION3_SH300!$A$54:$A$59</c:f>
              <c:numCache>
                <c:formatCode>General</c:formatCode>
                <c:ptCount val="6"/>
                <c:pt idx="0">
                  <c:v>0</c:v>
                </c:pt>
                <c:pt idx="1">
                  <c:v>100</c:v>
                </c:pt>
                <c:pt idx="2">
                  <c:v>500</c:v>
                </c:pt>
                <c:pt idx="3">
                  <c:v>1000</c:v>
                </c:pt>
                <c:pt idx="4">
                  <c:v>2000</c:v>
                </c:pt>
                <c:pt idx="5">
                  <c:v>3000</c:v>
                </c:pt>
              </c:numCache>
            </c:numRef>
          </c:xVal>
          <c:yVal>
            <c:numRef>
              <c:f>FUSION3_SH300!$P$54:$P$59</c:f>
              <c:numCache>
                <c:formatCode>0.00</c:formatCode>
                <c:ptCount val="6"/>
                <c:pt idx="0">
                  <c:v>368.55119312221933</c:v>
                </c:pt>
                <c:pt idx="1">
                  <c:v>359.45532272523587</c:v>
                </c:pt>
                <c:pt idx="2">
                  <c:v>349.01191597314374</c:v>
                </c:pt>
                <c:pt idx="3">
                  <c:v>336.21032059961152</c:v>
                </c:pt>
                <c:pt idx="4">
                  <c:v>322.39807295974765</c:v>
                </c:pt>
                <c:pt idx="5">
                  <c:v>308.2489412311067</c:v>
                </c:pt>
              </c:numCache>
            </c:numRef>
          </c:yVal>
          <c:smooth val="0"/>
          <c:extLst>
            <c:ext xmlns:c16="http://schemas.microsoft.com/office/drawing/2014/chart" uri="{C3380CC4-5D6E-409C-BE32-E72D297353CC}">
              <c16:uniqueId val="{0000000F-0391-4848-8F06-ECC9692DFAB5}"/>
            </c:ext>
          </c:extLst>
        </c:ser>
        <c:dLbls>
          <c:showLegendKey val="0"/>
          <c:showVal val="0"/>
          <c:showCatName val="0"/>
          <c:showSerName val="0"/>
          <c:showPercent val="0"/>
          <c:showBubbleSize val="0"/>
        </c:dLbls>
        <c:axId val="705849336"/>
        <c:axId val="705839168"/>
      </c:scatterChart>
      <c:valAx>
        <c:axId val="7058493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Pressure (psi)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39168"/>
        <c:crosses val="autoZero"/>
        <c:crossBetween val="midCat"/>
        <c:majorUnit val="100"/>
      </c:valAx>
      <c:valAx>
        <c:axId val="705839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rate</a:t>
                </a:r>
                <a:r>
                  <a:rPr lang="en-US" baseline="0"/>
                  <a:t> (L/d)</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493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200</a:t>
            </a:r>
            <a:r>
              <a:rPr lang="en-US" baseline="0"/>
              <a:t> rpm</a:t>
            </a:r>
          </a:p>
        </c:rich>
      </c:tx>
      <c:layout>
        <c:manualLayout>
          <c:xMode val="edge"/>
          <c:yMode val="edge"/>
          <c:x val="0.36782633420822403"/>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FUSION3_SH300!$V$85:$V$90</c:f>
              <c:numCache>
                <c:formatCode>General</c:formatCode>
                <c:ptCount val="6"/>
                <c:pt idx="0">
                  <c:v>4.57</c:v>
                </c:pt>
                <c:pt idx="1">
                  <c:v>5.4</c:v>
                </c:pt>
                <c:pt idx="2">
                  <c:v>9</c:v>
                </c:pt>
                <c:pt idx="3">
                  <c:v>16.363636363636363</c:v>
                </c:pt>
                <c:pt idx="4">
                  <c:v>38.322580645161288</c:v>
                </c:pt>
                <c:pt idx="5">
                  <c:v>72</c:v>
                </c:pt>
              </c:numCache>
            </c:numRef>
          </c:xVal>
          <c:yVal>
            <c:numRef>
              <c:f>FUSION3_SH300!$W$85:$W$90</c:f>
              <c:numCache>
                <c:formatCode>0.00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0-153F-4CF1-A5BB-726F73CDCE83}"/>
            </c:ext>
          </c:extLst>
        </c:ser>
        <c:dLbls>
          <c:showLegendKey val="0"/>
          <c:showVal val="0"/>
          <c:showCatName val="0"/>
          <c:showSerName val="0"/>
          <c:showPercent val="0"/>
          <c:showBubbleSize val="0"/>
        </c:dLbls>
        <c:axId val="744525776"/>
        <c:axId val="744525120"/>
      </c:scatterChart>
      <c:valAx>
        <c:axId val="744525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525120"/>
        <c:crosses val="autoZero"/>
        <c:crossBetween val="midCat"/>
      </c:valAx>
      <c:valAx>
        <c:axId val="7445251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5257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100 rpm</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FUSION3_SH300!$T$85:$T$90</c:f>
              <c:numCache>
                <c:formatCode>General</c:formatCode>
                <c:ptCount val="6"/>
                <c:pt idx="0">
                  <c:v>2.17</c:v>
                </c:pt>
                <c:pt idx="1">
                  <c:v>3</c:v>
                </c:pt>
                <c:pt idx="2">
                  <c:v>4.8</c:v>
                </c:pt>
                <c:pt idx="3">
                  <c:v>9.6</c:v>
                </c:pt>
                <c:pt idx="4">
                  <c:v>17.399999999999999</c:v>
                </c:pt>
                <c:pt idx="5">
                  <c:v>33.6</c:v>
                </c:pt>
              </c:numCache>
            </c:numRef>
          </c:xVal>
          <c:yVal>
            <c:numRef>
              <c:f>FUSION3_SH300!$U$85:$U$90</c:f>
              <c:numCache>
                <c:formatCode>0.00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0-A411-46FE-9CFB-B8F81714FBE9}"/>
            </c:ext>
          </c:extLst>
        </c:ser>
        <c:dLbls>
          <c:showLegendKey val="0"/>
          <c:showVal val="0"/>
          <c:showCatName val="0"/>
          <c:showSerName val="0"/>
          <c:showPercent val="0"/>
          <c:showBubbleSize val="0"/>
        </c:dLbls>
        <c:axId val="747191888"/>
        <c:axId val="747205664"/>
      </c:scatterChart>
      <c:valAx>
        <c:axId val="747191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205664"/>
        <c:crosses val="autoZero"/>
        <c:crossBetween val="midCat"/>
      </c:valAx>
      <c:valAx>
        <c:axId val="7472056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19188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eff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FUSION3_SH300!$B$54</c:f>
              <c:strCache>
                <c:ptCount val="1"/>
                <c:pt idx="0">
                  <c:v>1100</c:v>
                </c:pt>
              </c:strCache>
            </c:strRef>
          </c:tx>
          <c:spPr>
            <a:ln w="19050" cap="rnd">
              <a:solidFill>
                <a:schemeClr val="accent1"/>
              </a:solidFill>
              <a:round/>
            </a:ln>
            <a:effectLst/>
          </c:spPr>
          <c:marker>
            <c:symbol val="none"/>
          </c:marker>
          <c:xVal>
            <c:numRef>
              <c:f>FUSION3_SH300!$A$54:$A$59</c:f>
              <c:numCache>
                <c:formatCode>General</c:formatCode>
                <c:ptCount val="6"/>
                <c:pt idx="0">
                  <c:v>0</c:v>
                </c:pt>
                <c:pt idx="1">
                  <c:v>100</c:v>
                </c:pt>
                <c:pt idx="2">
                  <c:v>500</c:v>
                </c:pt>
                <c:pt idx="3">
                  <c:v>1000</c:v>
                </c:pt>
                <c:pt idx="4">
                  <c:v>2000</c:v>
                </c:pt>
                <c:pt idx="5">
                  <c:v>3000</c:v>
                </c:pt>
              </c:numCache>
            </c:numRef>
          </c:xVal>
          <c:yVal>
            <c:numRef>
              <c:f>FUSION3_SH300!$R$54:$R$59</c:f>
              <c:numCache>
                <c:formatCode>0%</c:formatCode>
                <c:ptCount val="6"/>
                <c:pt idx="0">
                  <c:v>0</c:v>
                </c:pt>
                <c:pt idx="1">
                  <c:v>9.9049911150953893E-2</c:v>
                </c:pt>
                <c:pt idx="2">
                  <c:v>0.34216854507170957</c:v>
                </c:pt>
                <c:pt idx="3">
                  <c:v>0.4803004579994451</c:v>
                </c:pt>
                <c:pt idx="4">
                  <c:v>0.60848342537303968</c:v>
                </c:pt>
                <c:pt idx="5">
                  <c:v>0.67771043816768128</c:v>
                </c:pt>
              </c:numCache>
            </c:numRef>
          </c:yVal>
          <c:smooth val="0"/>
          <c:extLst>
            <c:ext xmlns:c16="http://schemas.microsoft.com/office/drawing/2014/chart" uri="{C3380CC4-5D6E-409C-BE32-E72D297353CC}">
              <c16:uniqueId val="{00000000-B9E8-4319-9E02-506284D418A2}"/>
            </c:ext>
          </c:extLst>
        </c:ser>
        <c:ser>
          <c:idx val="1"/>
          <c:order val="1"/>
          <c:tx>
            <c:strRef>
              <c:f>FUSION3_SH300!$B$40</c:f>
              <c:strCache>
                <c:ptCount val="1"/>
                <c:pt idx="0">
                  <c:v>800</c:v>
                </c:pt>
              </c:strCache>
            </c:strRef>
          </c:tx>
          <c:spPr>
            <a:ln w="19050" cap="rnd">
              <a:solidFill>
                <a:schemeClr val="accent2"/>
              </a:solidFill>
              <a:round/>
            </a:ln>
            <a:effectLst/>
          </c:spPr>
          <c:marker>
            <c:symbol val="none"/>
          </c:marker>
          <c:xVal>
            <c:numRef>
              <c:f>FUSION3_SH300!$A$40:$A$45</c:f>
              <c:numCache>
                <c:formatCode>General</c:formatCode>
                <c:ptCount val="6"/>
                <c:pt idx="0">
                  <c:v>0</c:v>
                </c:pt>
                <c:pt idx="1">
                  <c:v>100</c:v>
                </c:pt>
                <c:pt idx="2">
                  <c:v>500</c:v>
                </c:pt>
                <c:pt idx="3">
                  <c:v>1000</c:v>
                </c:pt>
                <c:pt idx="4">
                  <c:v>2000</c:v>
                </c:pt>
                <c:pt idx="5">
                  <c:v>3000</c:v>
                </c:pt>
              </c:numCache>
            </c:numRef>
          </c:xVal>
          <c:yVal>
            <c:numRef>
              <c:f>FUSION3_SH300!$R$40:$R$45</c:f>
              <c:numCache>
                <c:formatCode>0%</c:formatCode>
                <c:ptCount val="6"/>
                <c:pt idx="0">
                  <c:v>0</c:v>
                </c:pt>
                <c:pt idx="1">
                  <c:v>9.7446841975913509E-2</c:v>
                </c:pt>
                <c:pt idx="2">
                  <c:v>0.35182676969270421</c:v>
                </c:pt>
                <c:pt idx="3">
                  <c:v>0.47292109224527851</c:v>
                </c:pt>
                <c:pt idx="4">
                  <c:v>0.60341008467697665</c:v>
                </c:pt>
                <c:pt idx="5">
                  <c:v>0.50469952926389605</c:v>
                </c:pt>
              </c:numCache>
            </c:numRef>
          </c:yVal>
          <c:smooth val="0"/>
          <c:extLst>
            <c:ext xmlns:c16="http://schemas.microsoft.com/office/drawing/2014/chart" uri="{C3380CC4-5D6E-409C-BE32-E72D297353CC}">
              <c16:uniqueId val="{00000001-B9E8-4319-9E02-506284D418A2}"/>
            </c:ext>
          </c:extLst>
        </c:ser>
        <c:ser>
          <c:idx val="2"/>
          <c:order val="2"/>
          <c:tx>
            <c:strRef>
              <c:f>FUSION3_SH300!$B$33</c:f>
              <c:strCache>
                <c:ptCount val="1"/>
                <c:pt idx="0">
                  <c:v>600</c:v>
                </c:pt>
              </c:strCache>
            </c:strRef>
          </c:tx>
          <c:spPr>
            <a:ln w="19050" cap="rnd">
              <a:solidFill>
                <a:schemeClr val="accent3"/>
              </a:solidFill>
              <a:round/>
            </a:ln>
            <a:effectLst/>
          </c:spPr>
          <c:marker>
            <c:symbol val="none"/>
          </c:marker>
          <c:xVal>
            <c:numRef>
              <c:f>FUSION3_SH300!$A$33:$A$38</c:f>
              <c:numCache>
                <c:formatCode>General</c:formatCode>
                <c:ptCount val="6"/>
                <c:pt idx="0">
                  <c:v>0</c:v>
                </c:pt>
                <c:pt idx="1">
                  <c:v>100</c:v>
                </c:pt>
                <c:pt idx="2">
                  <c:v>500</c:v>
                </c:pt>
                <c:pt idx="3">
                  <c:v>1000</c:v>
                </c:pt>
                <c:pt idx="4">
                  <c:v>2000</c:v>
                </c:pt>
                <c:pt idx="5">
                  <c:v>3000</c:v>
                </c:pt>
              </c:numCache>
            </c:numRef>
          </c:xVal>
          <c:yVal>
            <c:numRef>
              <c:f>FUSION3_SH300!$R$33:$R$38</c:f>
              <c:numCache>
                <c:formatCode>0%</c:formatCode>
                <c:ptCount val="6"/>
                <c:pt idx="0">
                  <c:v>0</c:v>
                </c:pt>
                <c:pt idx="1">
                  <c:v>0.11487747427301355</c:v>
                </c:pt>
                <c:pt idx="2">
                  <c:v>0.37454440265219341</c:v>
                </c:pt>
                <c:pt idx="3">
                  <c:v>0.51613636925895379</c:v>
                </c:pt>
                <c:pt idx="4">
                  <c:v>0.60113268133993791</c:v>
                </c:pt>
                <c:pt idx="5">
                  <c:v>0.61297028010731713</c:v>
                </c:pt>
              </c:numCache>
            </c:numRef>
          </c:yVal>
          <c:smooth val="0"/>
          <c:extLst>
            <c:ext xmlns:c16="http://schemas.microsoft.com/office/drawing/2014/chart" uri="{C3380CC4-5D6E-409C-BE32-E72D297353CC}">
              <c16:uniqueId val="{00000002-B9E8-4319-9E02-506284D418A2}"/>
            </c:ext>
          </c:extLst>
        </c:ser>
        <c:ser>
          <c:idx val="3"/>
          <c:order val="3"/>
          <c:tx>
            <c:strRef>
              <c:f>FUSION3_SH300!$B$26</c:f>
              <c:strCache>
                <c:ptCount val="1"/>
                <c:pt idx="0">
                  <c:v>400</c:v>
                </c:pt>
              </c:strCache>
            </c:strRef>
          </c:tx>
          <c:spPr>
            <a:ln w="19050" cap="rnd">
              <a:solidFill>
                <a:schemeClr val="accent4"/>
              </a:solidFill>
              <a:round/>
            </a:ln>
            <a:effectLst/>
          </c:spPr>
          <c:marker>
            <c:symbol val="none"/>
          </c:marker>
          <c:xVal>
            <c:numRef>
              <c:f>FUSION3_SH300!$A$26:$A$31</c:f>
              <c:numCache>
                <c:formatCode>General</c:formatCode>
                <c:ptCount val="6"/>
                <c:pt idx="0">
                  <c:v>0</c:v>
                </c:pt>
                <c:pt idx="1">
                  <c:v>100</c:v>
                </c:pt>
                <c:pt idx="2">
                  <c:v>500</c:v>
                </c:pt>
                <c:pt idx="3">
                  <c:v>1000</c:v>
                </c:pt>
                <c:pt idx="4">
                  <c:v>2000</c:v>
                </c:pt>
                <c:pt idx="5">
                  <c:v>3000</c:v>
                </c:pt>
              </c:numCache>
            </c:numRef>
          </c:xVal>
          <c:yVal>
            <c:numRef>
              <c:f>FUSION3_SH300!$R$26:$R$31</c:f>
              <c:numCache>
                <c:formatCode>0%</c:formatCode>
                <c:ptCount val="6"/>
                <c:pt idx="0">
                  <c:v>0</c:v>
                </c:pt>
                <c:pt idx="1">
                  <c:v>0.12157894736842105</c:v>
                </c:pt>
                <c:pt idx="2">
                  <c:v>0.41768115942028988</c:v>
                </c:pt>
                <c:pt idx="3">
                  <c:v>0.5131313131313131</c:v>
                </c:pt>
                <c:pt idx="4">
                  <c:v>0.51250000000000007</c:v>
                </c:pt>
                <c:pt idx="5">
                  <c:v>0.49003436426116831</c:v>
                </c:pt>
              </c:numCache>
            </c:numRef>
          </c:yVal>
          <c:smooth val="0"/>
          <c:extLst>
            <c:ext xmlns:c16="http://schemas.microsoft.com/office/drawing/2014/chart" uri="{C3380CC4-5D6E-409C-BE32-E72D297353CC}">
              <c16:uniqueId val="{00000003-B9E8-4319-9E02-506284D418A2}"/>
            </c:ext>
          </c:extLst>
        </c:ser>
        <c:dLbls>
          <c:showLegendKey val="0"/>
          <c:showVal val="0"/>
          <c:showCatName val="0"/>
          <c:showSerName val="0"/>
          <c:showPercent val="0"/>
          <c:showBubbleSize val="0"/>
        </c:dLbls>
        <c:axId val="1526442784"/>
        <c:axId val="1526427424"/>
      </c:scatterChart>
      <c:valAx>
        <c:axId val="1526442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427424"/>
        <c:crosses val="autoZero"/>
        <c:crossBetween val="midCat"/>
      </c:valAx>
      <c:valAx>
        <c:axId val="1526427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44278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Fusion3 300</a:t>
            </a:r>
          </a:p>
        </c:rich>
      </c:tx>
      <c:layout>
        <c:manualLayout>
          <c:xMode val="edge"/>
          <c:yMode val="edge"/>
          <c:x val="0.30150113401050277"/>
          <c:y val="2.17821204808531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FUSION3_DH300!$B$47</c:f>
              <c:strCache>
                <c:ptCount val="1"/>
                <c:pt idx="0">
                  <c:v>1000</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1.4594119979606865E-2"/>
                  <c:y val="-0.1451468566429196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FUSION3_DH300!$A$47:$A$52</c:f>
              <c:numCache>
                <c:formatCode>General</c:formatCode>
                <c:ptCount val="6"/>
                <c:pt idx="0">
                  <c:v>0</c:v>
                </c:pt>
                <c:pt idx="1">
                  <c:v>100</c:v>
                </c:pt>
                <c:pt idx="2">
                  <c:v>500</c:v>
                </c:pt>
                <c:pt idx="3">
                  <c:v>1000</c:v>
                </c:pt>
                <c:pt idx="4">
                  <c:v>2000</c:v>
                </c:pt>
                <c:pt idx="5">
                  <c:v>3000</c:v>
                </c:pt>
              </c:numCache>
            </c:numRef>
          </c:xVal>
          <c:yVal>
            <c:numRef>
              <c:f>FUSION3_DH300!$P$47:$P$52</c:f>
              <c:numCache>
                <c:formatCode>0.00</c:formatCode>
                <c:ptCount val="6"/>
                <c:pt idx="0">
                  <c:v>682.864047951315</c:v>
                </c:pt>
                <c:pt idx="1">
                  <c:v>650.86005951748427</c:v>
                </c:pt>
                <c:pt idx="2">
                  <c:v>630.31013010207732</c:v>
                </c:pt>
                <c:pt idx="3">
                  <c:v>609.08643250911575</c:v>
                </c:pt>
                <c:pt idx="4">
                  <c:v>563.60708052419841</c:v>
                </c:pt>
                <c:pt idx="5">
                  <c:v>527.56048302504166</c:v>
                </c:pt>
              </c:numCache>
            </c:numRef>
          </c:yVal>
          <c:smooth val="0"/>
          <c:extLst>
            <c:ext xmlns:c16="http://schemas.microsoft.com/office/drawing/2014/chart" uri="{C3380CC4-5D6E-409C-BE32-E72D297353CC}">
              <c16:uniqueId val="{00000001-125E-49EC-A7F5-7A3597068263}"/>
            </c:ext>
          </c:extLst>
        </c:ser>
        <c:ser>
          <c:idx val="1"/>
          <c:order val="1"/>
          <c:tx>
            <c:strRef>
              <c:f>FUSION3_DH300!$B$40</c:f>
              <c:strCache>
                <c:ptCount val="1"/>
                <c:pt idx="0">
                  <c:v>800</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0"/>
            <c:dispEq val="0"/>
          </c:trendline>
          <c:xVal>
            <c:numRef>
              <c:f>FUSION3_DH300!$A$40:$A$45</c:f>
              <c:numCache>
                <c:formatCode>General</c:formatCode>
                <c:ptCount val="6"/>
                <c:pt idx="0">
                  <c:v>0</c:v>
                </c:pt>
                <c:pt idx="1">
                  <c:v>100</c:v>
                </c:pt>
                <c:pt idx="2">
                  <c:v>500</c:v>
                </c:pt>
                <c:pt idx="3">
                  <c:v>1000</c:v>
                </c:pt>
                <c:pt idx="4">
                  <c:v>2000</c:v>
                </c:pt>
                <c:pt idx="5">
                  <c:v>3000</c:v>
                </c:pt>
              </c:numCache>
            </c:numRef>
          </c:xVal>
          <c:yVal>
            <c:numRef>
              <c:f>FUSION3_DH300!$P$40:$P$45</c:f>
              <c:numCache>
                <c:formatCode>0.00</c:formatCode>
                <c:ptCount val="6"/>
                <c:pt idx="0">
                  <c:v>548.11041244044884</c:v>
                </c:pt>
                <c:pt idx="1">
                  <c:v>527.89736711381886</c:v>
                </c:pt>
                <c:pt idx="2">
                  <c:v>509.03185814229755</c:v>
                </c:pt>
                <c:pt idx="3">
                  <c:v>485.1130878391188</c:v>
                </c:pt>
                <c:pt idx="4">
                  <c:v>455.13040393795103</c:v>
                </c:pt>
                <c:pt idx="5">
                  <c:v>420.76822688268004</c:v>
                </c:pt>
              </c:numCache>
            </c:numRef>
          </c:yVal>
          <c:smooth val="0"/>
          <c:extLst>
            <c:ext xmlns:c16="http://schemas.microsoft.com/office/drawing/2014/chart" uri="{C3380CC4-5D6E-409C-BE32-E72D297353CC}">
              <c16:uniqueId val="{00000003-125E-49EC-A7F5-7A3597068263}"/>
            </c:ext>
          </c:extLst>
        </c:ser>
        <c:ser>
          <c:idx val="2"/>
          <c:order val="2"/>
          <c:tx>
            <c:strRef>
              <c:f>FUSION3_DH300!$B$33</c:f>
              <c:strCache>
                <c:ptCount val="1"/>
                <c:pt idx="0">
                  <c:v>600</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0"/>
            <c:dispEq val="0"/>
          </c:trendline>
          <c:xVal>
            <c:numRef>
              <c:f>FUSION3_DH300!$A$33:$A$38</c:f>
              <c:numCache>
                <c:formatCode>General</c:formatCode>
                <c:ptCount val="6"/>
                <c:pt idx="0">
                  <c:v>0</c:v>
                </c:pt>
                <c:pt idx="1">
                  <c:v>100</c:v>
                </c:pt>
                <c:pt idx="2">
                  <c:v>500</c:v>
                </c:pt>
                <c:pt idx="3">
                  <c:v>1000</c:v>
                </c:pt>
                <c:pt idx="4">
                  <c:v>2000</c:v>
                </c:pt>
                <c:pt idx="5">
                  <c:v>3000</c:v>
                </c:pt>
              </c:numCache>
            </c:numRef>
          </c:xVal>
          <c:yVal>
            <c:numRef>
              <c:f>FUSION3_DH300!$P$33:$P$38</c:f>
              <c:numCache>
                <c:formatCode>0.00</c:formatCode>
                <c:ptCount val="6"/>
                <c:pt idx="0">
                  <c:v>402.91337017749032</c:v>
                </c:pt>
                <c:pt idx="1">
                  <c:v>392.80684751417539</c:v>
                </c:pt>
                <c:pt idx="2">
                  <c:v>380.00525214064299</c:v>
                </c:pt>
                <c:pt idx="3">
                  <c:v>365.5192363232249</c:v>
                </c:pt>
                <c:pt idx="4">
                  <c:v>342.94800237515477</c:v>
                </c:pt>
                <c:pt idx="5">
                  <c:v>323.07184113730199</c:v>
                </c:pt>
              </c:numCache>
            </c:numRef>
          </c:yVal>
          <c:smooth val="0"/>
          <c:extLst>
            <c:ext xmlns:c16="http://schemas.microsoft.com/office/drawing/2014/chart" uri="{C3380CC4-5D6E-409C-BE32-E72D297353CC}">
              <c16:uniqueId val="{00000005-125E-49EC-A7F5-7A3597068263}"/>
            </c:ext>
          </c:extLst>
        </c:ser>
        <c:ser>
          <c:idx val="3"/>
          <c:order val="3"/>
          <c:tx>
            <c:strRef>
              <c:f>FUSION3_DH300!$B$26</c:f>
              <c:strCache>
                <c:ptCount val="1"/>
                <c:pt idx="0">
                  <c:v>400</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ly"/>
            <c:order val="2"/>
            <c:dispRSqr val="0"/>
            <c:dispEq val="0"/>
          </c:trendline>
          <c:xVal>
            <c:numRef>
              <c:f>FUSION3_DH300!$A$26:$A$31</c:f>
              <c:numCache>
                <c:formatCode>General</c:formatCode>
                <c:ptCount val="6"/>
                <c:pt idx="0">
                  <c:v>0</c:v>
                </c:pt>
                <c:pt idx="1">
                  <c:v>100</c:v>
                </c:pt>
                <c:pt idx="2">
                  <c:v>500</c:v>
                </c:pt>
                <c:pt idx="3">
                  <c:v>1000</c:v>
                </c:pt>
                <c:pt idx="4">
                  <c:v>2000</c:v>
                </c:pt>
                <c:pt idx="5">
                  <c:v>3000</c:v>
                </c:pt>
              </c:numCache>
            </c:numRef>
          </c:xVal>
          <c:yVal>
            <c:numRef>
              <c:f>FUSION3_DH300!$P$26:$P$31</c:f>
              <c:numCache>
                <c:formatCode>0.00</c:formatCode>
                <c:ptCount val="6"/>
                <c:pt idx="0">
                  <c:v>270</c:v>
                </c:pt>
                <c:pt idx="1">
                  <c:v>261</c:v>
                </c:pt>
                <c:pt idx="2">
                  <c:v>250</c:v>
                </c:pt>
                <c:pt idx="3">
                  <c:v>242</c:v>
                </c:pt>
                <c:pt idx="4">
                  <c:v>227</c:v>
                </c:pt>
                <c:pt idx="5">
                  <c:v>212</c:v>
                </c:pt>
              </c:numCache>
            </c:numRef>
          </c:yVal>
          <c:smooth val="0"/>
          <c:extLst>
            <c:ext xmlns:c16="http://schemas.microsoft.com/office/drawing/2014/chart" uri="{C3380CC4-5D6E-409C-BE32-E72D297353CC}">
              <c16:uniqueId val="{00000007-125E-49EC-A7F5-7A3597068263}"/>
            </c:ext>
          </c:extLst>
        </c:ser>
        <c:ser>
          <c:idx val="4"/>
          <c:order val="4"/>
          <c:tx>
            <c:strRef>
              <c:f>FUSION3_DH300!$B$19</c:f>
              <c:strCache>
                <c:ptCount val="1"/>
                <c:pt idx="0">
                  <c:v>200</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wer"/>
            <c:dispRSqr val="0"/>
            <c:dispEq val="0"/>
          </c:trendline>
          <c:trendline>
            <c:spPr>
              <a:ln w="19050" cap="rnd">
                <a:solidFill>
                  <a:schemeClr val="accent5"/>
                </a:solidFill>
                <a:prstDash val="sysDot"/>
              </a:ln>
              <a:effectLst/>
            </c:spPr>
            <c:trendlineType val="poly"/>
            <c:order val="2"/>
            <c:dispRSqr val="0"/>
            <c:dispEq val="0"/>
          </c:trendline>
          <c:xVal>
            <c:numRef>
              <c:f>FUSION3_DH300!$A$19:$A$24</c:f>
              <c:numCache>
                <c:formatCode>General</c:formatCode>
                <c:ptCount val="6"/>
                <c:pt idx="0">
                  <c:v>0</c:v>
                </c:pt>
                <c:pt idx="1">
                  <c:v>100</c:v>
                </c:pt>
                <c:pt idx="2">
                  <c:v>500</c:v>
                </c:pt>
                <c:pt idx="3">
                  <c:v>1000</c:v>
                </c:pt>
                <c:pt idx="4">
                  <c:v>2000</c:v>
                </c:pt>
                <c:pt idx="5">
                  <c:v>3000</c:v>
                </c:pt>
              </c:numCache>
            </c:numRef>
          </c:xVal>
          <c:yVal>
            <c:numRef>
              <c:f>FUSION3_DH300!$W$19:$W$24</c:f>
              <c:numCache>
                <c:formatCode>General</c:formatCode>
                <c:ptCount val="6"/>
              </c:numCache>
            </c:numRef>
          </c:yVal>
          <c:smooth val="0"/>
          <c:extLst>
            <c:ext xmlns:c16="http://schemas.microsoft.com/office/drawing/2014/chart" uri="{C3380CC4-5D6E-409C-BE32-E72D297353CC}">
              <c16:uniqueId val="{0000000A-125E-49EC-A7F5-7A3597068263}"/>
            </c:ext>
          </c:extLst>
        </c:ser>
        <c:ser>
          <c:idx val="5"/>
          <c:order val="5"/>
          <c:tx>
            <c:strRef>
              <c:f>FUSION3_DH300!$B$12</c:f>
              <c:strCache>
                <c:ptCount val="1"/>
                <c:pt idx="0">
                  <c:v>100</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0"/>
            <c:dispEq val="0"/>
          </c:trendline>
          <c:xVal>
            <c:numRef>
              <c:f>FUSION3_DH300!$A$12:$A$17</c:f>
              <c:numCache>
                <c:formatCode>General</c:formatCode>
                <c:ptCount val="6"/>
                <c:pt idx="0">
                  <c:v>0</c:v>
                </c:pt>
                <c:pt idx="1">
                  <c:v>100</c:v>
                </c:pt>
                <c:pt idx="2">
                  <c:v>500</c:v>
                </c:pt>
                <c:pt idx="3">
                  <c:v>1000</c:v>
                </c:pt>
                <c:pt idx="4">
                  <c:v>2000</c:v>
                </c:pt>
                <c:pt idx="5">
                  <c:v>3000</c:v>
                </c:pt>
              </c:numCache>
            </c:numRef>
          </c:xVal>
          <c:yVal>
            <c:numRef>
              <c:f>FUSION3_DH300!$W$12:$W$17</c:f>
              <c:numCache>
                <c:formatCode>General</c:formatCode>
                <c:ptCount val="6"/>
              </c:numCache>
            </c:numRef>
          </c:yVal>
          <c:smooth val="0"/>
          <c:extLst>
            <c:ext xmlns:c16="http://schemas.microsoft.com/office/drawing/2014/chart" uri="{C3380CC4-5D6E-409C-BE32-E72D297353CC}">
              <c16:uniqueId val="{0000000C-125E-49EC-A7F5-7A3597068263}"/>
            </c:ext>
          </c:extLst>
        </c:ser>
        <c:ser>
          <c:idx val="6"/>
          <c:order val="6"/>
          <c:tx>
            <c:strRef>
              <c:f>FUSION3_DH300!$Y$65</c:f>
              <c:strCache>
                <c:ptCount val="1"/>
                <c:pt idx="0">
                  <c:v>1100</c:v>
                </c:pt>
              </c:strCache>
            </c:strRef>
          </c:tx>
          <c:spPr>
            <a:ln w="19050"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xVal>
            <c:numRef>
              <c:f>FUSION3_DH300!$R$66:$R$71</c:f>
              <c:numCache>
                <c:formatCode>General</c:formatCode>
                <c:ptCount val="6"/>
                <c:pt idx="0">
                  <c:v>0</c:v>
                </c:pt>
                <c:pt idx="1">
                  <c:v>100</c:v>
                </c:pt>
                <c:pt idx="2">
                  <c:v>500</c:v>
                </c:pt>
                <c:pt idx="3">
                  <c:v>1000</c:v>
                </c:pt>
                <c:pt idx="4">
                  <c:v>2000</c:v>
                </c:pt>
                <c:pt idx="5">
                  <c:v>3000</c:v>
                </c:pt>
              </c:numCache>
            </c:numRef>
          </c:xVal>
          <c:yVal>
            <c:numRef>
              <c:f>FUSION3_DH300!$Y$66:$Y$71</c:f>
              <c:numCache>
                <c:formatCode>0.00</c:formatCode>
                <c:ptCount val="6"/>
                <c:pt idx="0">
                  <c:v>739.12369077710173</c:v>
                </c:pt>
                <c:pt idx="1">
                  <c:v>711.49919549737422</c:v>
                </c:pt>
                <c:pt idx="2">
                  <c:v>693.64433879218439</c:v>
                </c:pt>
                <c:pt idx="3">
                  <c:v>672.75752528800012</c:v>
                </c:pt>
                <c:pt idx="4">
                  <c:v>626.94128921430558</c:v>
                </c:pt>
                <c:pt idx="5">
                  <c:v>584.49389402838267</c:v>
                </c:pt>
              </c:numCache>
            </c:numRef>
          </c:yVal>
          <c:smooth val="0"/>
          <c:extLst>
            <c:ext xmlns:c16="http://schemas.microsoft.com/office/drawing/2014/chart" uri="{C3380CC4-5D6E-409C-BE32-E72D297353CC}">
              <c16:uniqueId val="{0000000D-125E-49EC-A7F5-7A3597068263}"/>
            </c:ext>
          </c:extLst>
        </c:ser>
        <c:ser>
          <c:idx val="7"/>
          <c:order val="7"/>
          <c:tx>
            <c:strRef>
              <c:f>FUSION3_DH300!$B$54</c:f>
              <c:strCache>
                <c:ptCount val="1"/>
                <c:pt idx="0">
                  <c:v>1100</c:v>
                </c:pt>
              </c:strCache>
            </c:strRef>
          </c:tx>
          <c:spPr>
            <a:ln w="19050"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trendline>
            <c:spPr>
              <a:ln w="19050" cap="rnd">
                <a:solidFill>
                  <a:schemeClr val="accent2">
                    <a:lumMod val="60000"/>
                  </a:schemeClr>
                </a:solidFill>
                <a:prstDash val="sysDot"/>
              </a:ln>
              <a:effectLst/>
            </c:spPr>
            <c:trendlineType val="linear"/>
            <c:dispRSqr val="0"/>
            <c:dispEq val="0"/>
          </c:trendline>
          <c:xVal>
            <c:numRef>
              <c:f>FUSION3_DH300!$A$54:$A$59</c:f>
              <c:numCache>
                <c:formatCode>General</c:formatCode>
                <c:ptCount val="6"/>
                <c:pt idx="0">
                  <c:v>0</c:v>
                </c:pt>
                <c:pt idx="1">
                  <c:v>100</c:v>
                </c:pt>
                <c:pt idx="2">
                  <c:v>500</c:v>
                </c:pt>
                <c:pt idx="3">
                  <c:v>1000</c:v>
                </c:pt>
                <c:pt idx="4">
                  <c:v>2000</c:v>
                </c:pt>
                <c:pt idx="5">
                  <c:v>3000</c:v>
                </c:pt>
              </c:numCache>
            </c:numRef>
          </c:xVal>
          <c:yVal>
            <c:numRef>
              <c:f>FUSION3_DH300!$P$54:$P$59</c:f>
              <c:numCache>
                <c:formatCode>0.00</c:formatCode>
                <c:ptCount val="6"/>
                <c:pt idx="0">
                  <c:v>739.12369077710173</c:v>
                </c:pt>
                <c:pt idx="1">
                  <c:v>711.49919549737422</c:v>
                </c:pt>
                <c:pt idx="2">
                  <c:v>693.64433879218439</c:v>
                </c:pt>
                <c:pt idx="3">
                  <c:v>672.75752528800012</c:v>
                </c:pt>
                <c:pt idx="4">
                  <c:v>626.94128921430558</c:v>
                </c:pt>
                <c:pt idx="5">
                  <c:v>584.49389402838267</c:v>
                </c:pt>
              </c:numCache>
            </c:numRef>
          </c:yVal>
          <c:smooth val="0"/>
          <c:extLst>
            <c:ext xmlns:c16="http://schemas.microsoft.com/office/drawing/2014/chart" uri="{C3380CC4-5D6E-409C-BE32-E72D297353CC}">
              <c16:uniqueId val="{0000000F-125E-49EC-A7F5-7A3597068263}"/>
            </c:ext>
          </c:extLst>
        </c:ser>
        <c:dLbls>
          <c:showLegendKey val="0"/>
          <c:showVal val="0"/>
          <c:showCatName val="0"/>
          <c:showSerName val="0"/>
          <c:showPercent val="0"/>
          <c:showBubbleSize val="0"/>
        </c:dLbls>
        <c:axId val="705849336"/>
        <c:axId val="705839168"/>
      </c:scatterChart>
      <c:valAx>
        <c:axId val="7058493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Pressure (psi)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39168"/>
        <c:crosses val="autoZero"/>
        <c:crossBetween val="midCat"/>
        <c:majorUnit val="100"/>
      </c:valAx>
      <c:valAx>
        <c:axId val="705839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rate</a:t>
                </a:r>
                <a:r>
                  <a:rPr lang="en-US" baseline="0"/>
                  <a:t> (L/d)</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493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200</a:t>
            </a:r>
            <a:r>
              <a:rPr lang="en-US" baseline="0"/>
              <a:t> rpm</a:t>
            </a:r>
          </a:p>
        </c:rich>
      </c:tx>
      <c:layout>
        <c:manualLayout>
          <c:xMode val="edge"/>
          <c:yMode val="edge"/>
          <c:x val="0.36782633420822403"/>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FUSION3_DH300!$V$85:$V$90</c:f>
              <c:numCache>
                <c:formatCode>General</c:formatCode>
                <c:ptCount val="6"/>
                <c:pt idx="0">
                  <c:v>3.37</c:v>
                </c:pt>
                <c:pt idx="1">
                  <c:v>5.4</c:v>
                </c:pt>
                <c:pt idx="2">
                  <c:v>10.199999999999999</c:v>
                </c:pt>
                <c:pt idx="3">
                  <c:v>17.5</c:v>
                </c:pt>
                <c:pt idx="4">
                  <c:v>36</c:v>
                </c:pt>
                <c:pt idx="5">
                  <c:v>58.8</c:v>
                </c:pt>
              </c:numCache>
            </c:numRef>
          </c:xVal>
          <c:yVal>
            <c:numRef>
              <c:f>FUSION3_DH300!$W$85:$W$90</c:f>
              <c:numCache>
                <c:formatCode>0.00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0-1689-494D-A7FD-88CC7E30E33D}"/>
            </c:ext>
          </c:extLst>
        </c:ser>
        <c:dLbls>
          <c:showLegendKey val="0"/>
          <c:showVal val="0"/>
          <c:showCatName val="0"/>
          <c:showSerName val="0"/>
          <c:showPercent val="0"/>
          <c:showBubbleSize val="0"/>
        </c:dLbls>
        <c:axId val="744525776"/>
        <c:axId val="744525120"/>
      </c:scatterChart>
      <c:valAx>
        <c:axId val="744525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525120"/>
        <c:crosses val="autoZero"/>
        <c:crossBetween val="midCat"/>
      </c:valAx>
      <c:valAx>
        <c:axId val="7445251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5257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100 rpm</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FUSION3_DH300!$T$85:$T$90</c:f>
              <c:numCache>
                <c:formatCode>General</c:formatCode>
                <c:ptCount val="6"/>
                <c:pt idx="0">
                  <c:v>2.17</c:v>
                </c:pt>
                <c:pt idx="1">
                  <c:v>3</c:v>
                </c:pt>
                <c:pt idx="2">
                  <c:v>5.4</c:v>
                </c:pt>
                <c:pt idx="3">
                  <c:v>9.6</c:v>
                </c:pt>
                <c:pt idx="4">
                  <c:v>19.2</c:v>
                </c:pt>
                <c:pt idx="5">
                  <c:v>38.4</c:v>
                </c:pt>
              </c:numCache>
            </c:numRef>
          </c:xVal>
          <c:yVal>
            <c:numRef>
              <c:f>FUSION3_DH300!$U$85:$U$90</c:f>
              <c:numCache>
                <c:formatCode>0.00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0-FCEA-4F28-B107-5EA281E5EC3F}"/>
            </c:ext>
          </c:extLst>
        </c:ser>
        <c:dLbls>
          <c:showLegendKey val="0"/>
          <c:showVal val="0"/>
          <c:showCatName val="0"/>
          <c:showSerName val="0"/>
          <c:showPercent val="0"/>
          <c:showBubbleSize val="0"/>
        </c:dLbls>
        <c:axId val="747191888"/>
        <c:axId val="747205664"/>
      </c:scatterChart>
      <c:valAx>
        <c:axId val="747191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205664"/>
        <c:crosses val="autoZero"/>
        <c:crossBetween val="midCat"/>
      </c:valAx>
      <c:valAx>
        <c:axId val="7472056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19188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eff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FUSION3_DH300!$B$54</c:f>
              <c:strCache>
                <c:ptCount val="1"/>
                <c:pt idx="0">
                  <c:v>1100</c:v>
                </c:pt>
              </c:strCache>
            </c:strRef>
          </c:tx>
          <c:spPr>
            <a:ln w="19050" cap="rnd">
              <a:solidFill>
                <a:schemeClr val="accent1"/>
              </a:solidFill>
              <a:round/>
            </a:ln>
            <a:effectLst/>
          </c:spPr>
          <c:marker>
            <c:symbol val="none"/>
          </c:marker>
          <c:xVal>
            <c:numRef>
              <c:f>FUSION3_DH300!$A$54:$A$59</c:f>
              <c:numCache>
                <c:formatCode>General</c:formatCode>
                <c:ptCount val="6"/>
                <c:pt idx="0">
                  <c:v>0</c:v>
                </c:pt>
                <c:pt idx="1">
                  <c:v>100</c:v>
                </c:pt>
                <c:pt idx="2">
                  <c:v>500</c:v>
                </c:pt>
                <c:pt idx="3">
                  <c:v>1000</c:v>
                </c:pt>
                <c:pt idx="4">
                  <c:v>2000</c:v>
                </c:pt>
                <c:pt idx="5">
                  <c:v>3000</c:v>
                </c:pt>
              </c:numCache>
            </c:numRef>
          </c:xVal>
          <c:yVal>
            <c:numRef>
              <c:f>FUSION3_DH300!$R$54:$R$59</c:f>
              <c:numCache>
                <c:formatCode>0%</c:formatCode>
                <c:ptCount val="6"/>
                <c:pt idx="0">
                  <c:v>0</c:v>
                </c:pt>
                <c:pt idx="1">
                  <c:v>0.15301057967685466</c:v>
                </c:pt>
                <c:pt idx="2">
                  <c:v>0.54695969367125652</c:v>
                </c:pt>
                <c:pt idx="3">
                  <c:v>0.67123199801977329</c:v>
                </c:pt>
                <c:pt idx="4">
                  <c:v>0.76015103682514229</c:v>
                </c:pt>
                <c:pt idx="5">
                  <c:v>0.73986568864352242</c:v>
                </c:pt>
              </c:numCache>
            </c:numRef>
          </c:yVal>
          <c:smooth val="0"/>
          <c:extLst>
            <c:ext xmlns:c16="http://schemas.microsoft.com/office/drawing/2014/chart" uri="{C3380CC4-5D6E-409C-BE32-E72D297353CC}">
              <c16:uniqueId val="{00000000-630D-42D3-8E9B-70E4425BD4CF}"/>
            </c:ext>
          </c:extLst>
        </c:ser>
        <c:ser>
          <c:idx val="1"/>
          <c:order val="1"/>
          <c:tx>
            <c:strRef>
              <c:f>FUSION3_DH300!$B$40</c:f>
              <c:strCache>
                <c:ptCount val="1"/>
                <c:pt idx="0">
                  <c:v>800</c:v>
                </c:pt>
              </c:strCache>
            </c:strRef>
          </c:tx>
          <c:spPr>
            <a:ln w="19050" cap="rnd">
              <a:solidFill>
                <a:schemeClr val="accent2"/>
              </a:solidFill>
              <a:round/>
            </a:ln>
            <a:effectLst/>
          </c:spPr>
          <c:marker>
            <c:symbol val="none"/>
          </c:marker>
          <c:xVal>
            <c:numRef>
              <c:f>FUSION3_DH300!$A$40:$A$45</c:f>
              <c:numCache>
                <c:formatCode>General</c:formatCode>
                <c:ptCount val="6"/>
                <c:pt idx="0">
                  <c:v>0</c:v>
                </c:pt>
                <c:pt idx="1">
                  <c:v>100</c:v>
                </c:pt>
                <c:pt idx="2">
                  <c:v>500</c:v>
                </c:pt>
                <c:pt idx="3">
                  <c:v>1000</c:v>
                </c:pt>
                <c:pt idx="4">
                  <c:v>2000</c:v>
                </c:pt>
                <c:pt idx="5">
                  <c:v>3000</c:v>
                </c:pt>
              </c:numCache>
            </c:numRef>
          </c:xVal>
          <c:yVal>
            <c:numRef>
              <c:f>FUSION3_DH300!$R$40:$R$45</c:f>
              <c:numCache>
                <c:formatCode>0%</c:formatCode>
                <c:ptCount val="6"/>
                <c:pt idx="0">
                  <c:v>0</c:v>
                </c:pt>
                <c:pt idx="1">
                  <c:v>0.18300442059945721</c:v>
                </c:pt>
                <c:pt idx="2">
                  <c:v>0.54791623619483421</c:v>
                </c:pt>
                <c:pt idx="3">
                  <c:v>0.6912552905595587</c:v>
                </c:pt>
                <c:pt idx="4">
                  <c:v>0.73772771357262656</c:v>
                </c:pt>
                <c:pt idx="5">
                  <c:v>0.74055207931351696</c:v>
                </c:pt>
              </c:numCache>
            </c:numRef>
          </c:yVal>
          <c:smooth val="0"/>
          <c:extLst>
            <c:ext xmlns:c16="http://schemas.microsoft.com/office/drawing/2014/chart" uri="{C3380CC4-5D6E-409C-BE32-E72D297353CC}">
              <c16:uniqueId val="{00000001-630D-42D3-8E9B-70E4425BD4CF}"/>
            </c:ext>
          </c:extLst>
        </c:ser>
        <c:ser>
          <c:idx val="2"/>
          <c:order val="2"/>
          <c:tx>
            <c:strRef>
              <c:f>FUSION3_DH300!$B$33</c:f>
              <c:strCache>
                <c:ptCount val="1"/>
                <c:pt idx="0">
                  <c:v>600</c:v>
                </c:pt>
              </c:strCache>
            </c:strRef>
          </c:tx>
          <c:spPr>
            <a:ln w="19050" cap="rnd">
              <a:solidFill>
                <a:schemeClr val="accent3"/>
              </a:solidFill>
              <a:round/>
            </a:ln>
            <a:effectLst/>
          </c:spPr>
          <c:marker>
            <c:symbol val="none"/>
          </c:marker>
          <c:xVal>
            <c:numRef>
              <c:f>FUSION3_DH300!$A$33:$A$38</c:f>
              <c:numCache>
                <c:formatCode>General</c:formatCode>
                <c:ptCount val="6"/>
                <c:pt idx="0">
                  <c:v>0</c:v>
                </c:pt>
                <c:pt idx="1">
                  <c:v>100</c:v>
                </c:pt>
                <c:pt idx="2">
                  <c:v>500</c:v>
                </c:pt>
                <c:pt idx="3">
                  <c:v>1000</c:v>
                </c:pt>
                <c:pt idx="4">
                  <c:v>2000</c:v>
                </c:pt>
                <c:pt idx="5">
                  <c:v>3000</c:v>
                </c:pt>
              </c:numCache>
            </c:numRef>
          </c:xVal>
          <c:yVal>
            <c:numRef>
              <c:f>FUSION3_DH300!$R$33:$R$38</c:f>
              <c:numCache>
                <c:formatCode>0%</c:formatCode>
                <c:ptCount val="6"/>
                <c:pt idx="0">
                  <c:v>0</c:v>
                </c:pt>
                <c:pt idx="1">
                  <c:v>0.1691251704574922</c:v>
                </c:pt>
                <c:pt idx="2">
                  <c:v>0.50667366952085735</c:v>
                </c:pt>
                <c:pt idx="3">
                  <c:v>0.67905351459159113</c:v>
                </c:pt>
                <c:pt idx="4">
                  <c:v>0.70348308179518937</c:v>
                </c:pt>
                <c:pt idx="5">
                  <c:v>0.65139688294350329</c:v>
                </c:pt>
              </c:numCache>
            </c:numRef>
          </c:yVal>
          <c:smooth val="0"/>
          <c:extLst>
            <c:ext xmlns:c16="http://schemas.microsoft.com/office/drawing/2014/chart" uri="{C3380CC4-5D6E-409C-BE32-E72D297353CC}">
              <c16:uniqueId val="{00000002-630D-42D3-8E9B-70E4425BD4CF}"/>
            </c:ext>
          </c:extLst>
        </c:ser>
        <c:ser>
          <c:idx val="3"/>
          <c:order val="3"/>
          <c:tx>
            <c:strRef>
              <c:f>FUSION3_DH300!$B$26</c:f>
              <c:strCache>
                <c:ptCount val="1"/>
                <c:pt idx="0">
                  <c:v>400</c:v>
                </c:pt>
              </c:strCache>
            </c:strRef>
          </c:tx>
          <c:spPr>
            <a:ln w="19050" cap="rnd">
              <a:solidFill>
                <a:schemeClr val="accent4"/>
              </a:solidFill>
              <a:round/>
            </a:ln>
            <a:effectLst/>
          </c:spPr>
          <c:marker>
            <c:symbol val="none"/>
          </c:marker>
          <c:xVal>
            <c:numRef>
              <c:f>FUSION3_DH300!$A$26:$A$31</c:f>
              <c:numCache>
                <c:formatCode>General</c:formatCode>
                <c:ptCount val="6"/>
                <c:pt idx="0">
                  <c:v>0</c:v>
                </c:pt>
                <c:pt idx="1">
                  <c:v>100</c:v>
                </c:pt>
                <c:pt idx="2">
                  <c:v>500</c:v>
                </c:pt>
                <c:pt idx="3">
                  <c:v>1000</c:v>
                </c:pt>
                <c:pt idx="4">
                  <c:v>2000</c:v>
                </c:pt>
                <c:pt idx="5">
                  <c:v>3000</c:v>
                </c:pt>
              </c:numCache>
            </c:numRef>
          </c:xVal>
          <c:yVal>
            <c:numRef>
              <c:f>FUSION3_DH300!$R$26:$R$31</c:f>
              <c:numCache>
                <c:formatCode>0%</c:formatCode>
                <c:ptCount val="6"/>
                <c:pt idx="0">
                  <c:v>0</c:v>
                </c:pt>
                <c:pt idx="1">
                  <c:v>0.17400000000000002</c:v>
                </c:pt>
                <c:pt idx="2">
                  <c:v>0.50505050505050508</c:v>
                </c:pt>
                <c:pt idx="3">
                  <c:v>0.59753086419753088</c:v>
                </c:pt>
                <c:pt idx="4">
                  <c:v>0.66543735224586287</c:v>
                </c:pt>
                <c:pt idx="5">
                  <c:v>0.59718309859154928</c:v>
                </c:pt>
              </c:numCache>
            </c:numRef>
          </c:yVal>
          <c:smooth val="0"/>
          <c:extLst>
            <c:ext xmlns:c16="http://schemas.microsoft.com/office/drawing/2014/chart" uri="{C3380CC4-5D6E-409C-BE32-E72D297353CC}">
              <c16:uniqueId val="{00000003-630D-42D3-8E9B-70E4425BD4CF}"/>
            </c:ext>
          </c:extLst>
        </c:ser>
        <c:dLbls>
          <c:showLegendKey val="0"/>
          <c:showVal val="0"/>
          <c:showCatName val="0"/>
          <c:showSerName val="0"/>
          <c:showPercent val="0"/>
          <c:showBubbleSize val="0"/>
        </c:dLbls>
        <c:axId val="1526442784"/>
        <c:axId val="1526427424"/>
      </c:scatterChart>
      <c:valAx>
        <c:axId val="1526442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427424"/>
        <c:crosses val="autoZero"/>
        <c:crossBetween val="midCat"/>
      </c:valAx>
      <c:valAx>
        <c:axId val="1526427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44278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Fusion3 300</a:t>
            </a:r>
          </a:p>
        </c:rich>
      </c:tx>
      <c:layout>
        <c:manualLayout>
          <c:xMode val="edge"/>
          <c:yMode val="edge"/>
          <c:x val="0.30150113401050277"/>
          <c:y val="2.17821204808531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'FUSION3_SH500 '!$B$47</c:f>
              <c:strCache>
                <c:ptCount val="1"/>
                <c:pt idx="0">
                  <c:v>1000</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1.4594119979606865E-2"/>
                  <c:y val="-0.1451468566429196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'FUSION3_SH500 '!$A$47:$A$52</c:f>
              <c:numCache>
                <c:formatCode>General</c:formatCode>
                <c:ptCount val="6"/>
                <c:pt idx="0">
                  <c:v>0</c:v>
                </c:pt>
                <c:pt idx="1">
                  <c:v>500</c:v>
                </c:pt>
                <c:pt idx="2">
                  <c:v>1000</c:v>
                </c:pt>
                <c:pt idx="3">
                  <c:v>3000</c:v>
                </c:pt>
                <c:pt idx="4">
                  <c:v>4000</c:v>
                </c:pt>
                <c:pt idx="5">
                  <c:v>5000</c:v>
                </c:pt>
              </c:numCache>
            </c:numRef>
          </c:xVal>
          <c:yVal>
            <c:numRef>
              <c:f>'FUSION3_SH500 '!$P$47:$P$52</c:f>
              <c:numCache>
                <c:formatCode>0.00</c:formatCode>
                <c:ptCount val="6"/>
                <c:pt idx="0">
                  <c:v>237.50328258790191</c:v>
                </c:pt>
                <c:pt idx="1">
                  <c:v>222.34349859292942</c:v>
                </c:pt>
                <c:pt idx="2">
                  <c:v>212.23697592961446</c:v>
                </c:pt>
                <c:pt idx="3">
                  <c:v>197.077191934642</c:v>
                </c:pt>
                <c:pt idx="4">
                  <c:v>186.97066927132701</c:v>
                </c:pt>
                <c:pt idx="5">
                  <c:v>176.86414660801202</c:v>
                </c:pt>
              </c:numCache>
            </c:numRef>
          </c:yVal>
          <c:smooth val="0"/>
          <c:extLst>
            <c:ext xmlns:c16="http://schemas.microsoft.com/office/drawing/2014/chart" uri="{C3380CC4-5D6E-409C-BE32-E72D297353CC}">
              <c16:uniqueId val="{00000001-F2A4-4C31-8DBB-8E31FBFCC4FB}"/>
            </c:ext>
          </c:extLst>
        </c:ser>
        <c:ser>
          <c:idx val="1"/>
          <c:order val="1"/>
          <c:tx>
            <c:strRef>
              <c:f>'FUSION3_SH500 '!$B$40</c:f>
              <c:strCache>
                <c:ptCount val="1"/>
                <c:pt idx="0">
                  <c:v>800</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0"/>
            <c:dispEq val="0"/>
          </c:trendline>
          <c:xVal>
            <c:numRef>
              <c:f>'FUSION3_SH500 '!$A$40:$A$45</c:f>
              <c:numCache>
                <c:formatCode>General</c:formatCode>
                <c:ptCount val="6"/>
                <c:pt idx="0">
                  <c:v>0</c:v>
                </c:pt>
                <c:pt idx="1">
                  <c:v>500</c:v>
                </c:pt>
                <c:pt idx="2">
                  <c:v>1000</c:v>
                </c:pt>
                <c:pt idx="3">
                  <c:v>3000</c:v>
                </c:pt>
                <c:pt idx="4">
                  <c:v>4000</c:v>
                </c:pt>
                <c:pt idx="5">
                  <c:v>5000</c:v>
                </c:pt>
              </c:numCache>
            </c:numRef>
          </c:xVal>
          <c:yVal>
            <c:numRef>
              <c:f>'FUSION3_SH500 '!$P$40:$P$45</c:f>
              <c:numCache>
                <c:formatCode>0.00</c:formatCode>
                <c:ptCount val="6"/>
                <c:pt idx="0">
                  <c:v>192.02393060298451</c:v>
                </c:pt>
                <c:pt idx="1">
                  <c:v>181.91740793966952</c:v>
                </c:pt>
                <c:pt idx="2">
                  <c:v>176.86414660801202</c:v>
                </c:pt>
                <c:pt idx="3">
                  <c:v>156.6511012813821</c:v>
                </c:pt>
                <c:pt idx="4">
                  <c:v>151.5978399497246</c:v>
                </c:pt>
                <c:pt idx="5">
                  <c:v>117.69638574537809</c:v>
                </c:pt>
              </c:numCache>
            </c:numRef>
          </c:yVal>
          <c:smooth val="0"/>
          <c:extLst>
            <c:ext xmlns:c16="http://schemas.microsoft.com/office/drawing/2014/chart" uri="{C3380CC4-5D6E-409C-BE32-E72D297353CC}">
              <c16:uniqueId val="{00000003-F2A4-4C31-8DBB-8E31FBFCC4FB}"/>
            </c:ext>
          </c:extLst>
        </c:ser>
        <c:ser>
          <c:idx val="2"/>
          <c:order val="2"/>
          <c:tx>
            <c:strRef>
              <c:f>'FUSION3_SH500 '!$B$33</c:f>
              <c:strCache>
                <c:ptCount val="1"/>
                <c:pt idx="0">
                  <c:v>600</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0"/>
            <c:dispEq val="0"/>
          </c:trendline>
          <c:xVal>
            <c:numRef>
              <c:f>'FUSION3_SH500 '!$A$33:$A$38</c:f>
              <c:numCache>
                <c:formatCode>General</c:formatCode>
                <c:ptCount val="6"/>
                <c:pt idx="0">
                  <c:v>0</c:v>
                </c:pt>
                <c:pt idx="1">
                  <c:v>500</c:v>
                </c:pt>
                <c:pt idx="2">
                  <c:v>1000</c:v>
                </c:pt>
                <c:pt idx="3">
                  <c:v>3000</c:v>
                </c:pt>
                <c:pt idx="4">
                  <c:v>4000</c:v>
                </c:pt>
                <c:pt idx="5">
                  <c:v>5000</c:v>
                </c:pt>
              </c:numCache>
            </c:numRef>
          </c:xVal>
          <c:yVal>
            <c:numRef>
              <c:f>'FUSION3_SH500 '!$P$33:$P$38</c:f>
              <c:numCache>
                <c:formatCode>0.00</c:formatCode>
                <c:ptCount val="6"/>
                <c:pt idx="0">
                  <c:v>147.55523088439861</c:v>
                </c:pt>
                <c:pt idx="1">
                  <c:v>143.51262181907262</c:v>
                </c:pt>
                <c:pt idx="2">
                  <c:v>138.12247639863799</c:v>
                </c:pt>
                <c:pt idx="3">
                  <c:v>121.2782719597797</c:v>
                </c:pt>
                <c:pt idx="4">
                  <c:v>114.54059018423636</c:v>
                </c:pt>
                <c:pt idx="5">
                  <c:v>109.48732885257887</c:v>
                </c:pt>
              </c:numCache>
            </c:numRef>
          </c:yVal>
          <c:smooth val="0"/>
          <c:extLst>
            <c:ext xmlns:c16="http://schemas.microsoft.com/office/drawing/2014/chart" uri="{C3380CC4-5D6E-409C-BE32-E72D297353CC}">
              <c16:uniqueId val="{00000005-F2A4-4C31-8DBB-8E31FBFCC4FB}"/>
            </c:ext>
          </c:extLst>
        </c:ser>
        <c:ser>
          <c:idx val="3"/>
          <c:order val="3"/>
          <c:tx>
            <c:strRef>
              <c:f>'FUSION3_SH500 '!$B$26</c:f>
              <c:strCache>
                <c:ptCount val="1"/>
                <c:pt idx="0">
                  <c:v>400</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ly"/>
            <c:order val="2"/>
            <c:dispRSqr val="0"/>
            <c:dispEq val="0"/>
          </c:trendline>
          <c:xVal>
            <c:numRef>
              <c:f>'FUSION3_SH500 '!$A$26:$A$31</c:f>
              <c:numCache>
                <c:formatCode>General</c:formatCode>
                <c:ptCount val="6"/>
                <c:pt idx="0">
                  <c:v>0</c:v>
                </c:pt>
                <c:pt idx="1">
                  <c:v>500</c:v>
                </c:pt>
                <c:pt idx="2">
                  <c:v>1000</c:v>
                </c:pt>
                <c:pt idx="3">
                  <c:v>3000</c:v>
                </c:pt>
                <c:pt idx="4">
                  <c:v>4000</c:v>
                </c:pt>
                <c:pt idx="5">
                  <c:v>5000</c:v>
                </c:pt>
              </c:numCache>
            </c:numRef>
          </c:xVal>
          <c:yVal>
            <c:numRef>
              <c:f>'FUSION3_SH500 '!$P$26:$P$31</c:f>
              <c:numCache>
                <c:formatCode>0.00</c:formatCode>
                <c:ptCount val="6"/>
                <c:pt idx="0">
                  <c:v>96</c:v>
                </c:pt>
                <c:pt idx="1">
                  <c:v>93</c:v>
                </c:pt>
                <c:pt idx="2">
                  <c:v>90</c:v>
                </c:pt>
                <c:pt idx="3">
                  <c:v>82</c:v>
                </c:pt>
                <c:pt idx="4">
                  <c:v>78</c:v>
                </c:pt>
                <c:pt idx="5">
                  <c:v>72</c:v>
                </c:pt>
              </c:numCache>
            </c:numRef>
          </c:yVal>
          <c:smooth val="0"/>
          <c:extLst>
            <c:ext xmlns:c16="http://schemas.microsoft.com/office/drawing/2014/chart" uri="{C3380CC4-5D6E-409C-BE32-E72D297353CC}">
              <c16:uniqueId val="{00000007-F2A4-4C31-8DBB-8E31FBFCC4FB}"/>
            </c:ext>
          </c:extLst>
        </c:ser>
        <c:ser>
          <c:idx val="4"/>
          <c:order val="4"/>
          <c:tx>
            <c:strRef>
              <c:f>'FUSION3_SH500 '!$B$19</c:f>
              <c:strCache>
                <c:ptCount val="1"/>
                <c:pt idx="0">
                  <c:v>200</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wer"/>
            <c:dispRSqr val="0"/>
            <c:dispEq val="0"/>
          </c:trendline>
          <c:trendline>
            <c:spPr>
              <a:ln w="19050" cap="rnd">
                <a:solidFill>
                  <a:schemeClr val="accent5"/>
                </a:solidFill>
                <a:prstDash val="sysDot"/>
              </a:ln>
              <a:effectLst/>
            </c:spPr>
            <c:trendlineType val="poly"/>
            <c:order val="2"/>
            <c:dispRSqr val="0"/>
            <c:dispEq val="0"/>
          </c:trendline>
          <c:xVal>
            <c:numRef>
              <c:f>'FUSION3_SH500 '!$A$19:$A$24</c:f>
              <c:numCache>
                <c:formatCode>General</c:formatCode>
                <c:ptCount val="6"/>
                <c:pt idx="0">
                  <c:v>0</c:v>
                </c:pt>
                <c:pt idx="1">
                  <c:v>500</c:v>
                </c:pt>
                <c:pt idx="2">
                  <c:v>1000</c:v>
                </c:pt>
                <c:pt idx="3">
                  <c:v>3000</c:v>
                </c:pt>
                <c:pt idx="4">
                  <c:v>4000</c:v>
                </c:pt>
                <c:pt idx="5">
                  <c:v>5000</c:v>
                </c:pt>
              </c:numCache>
            </c:numRef>
          </c:xVal>
          <c:yVal>
            <c:numRef>
              <c:f>'FUSION3_SH500 '!$W$19:$W$24</c:f>
              <c:numCache>
                <c:formatCode>General</c:formatCode>
                <c:ptCount val="6"/>
              </c:numCache>
            </c:numRef>
          </c:yVal>
          <c:smooth val="0"/>
          <c:extLst>
            <c:ext xmlns:c16="http://schemas.microsoft.com/office/drawing/2014/chart" uri="{C3380CC4-5D6E-409C-BE32-E72D297353CC}">
              <c16:uniqueId val="{0000000A-F2A4-4C31-8DBB-8E31FBFCC4FB}"/>
            </c:ext>
          </c:extLst>
        </c:ser>
        <c:ser>
          <c:idx val="5"/>
          <c:order val="5"/>
          <c:tx>
            <c:strRef>
              <c:f>'FUSION3_SH500 '!$B$12</c:f>
              <c:strCache>
                <c:ptCount val="1"/>
                <c:pt idx="0">
                  <c:v>100</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0"/>
            <c:dispEq val="0"/>
          </c:trendline>
          <c:xVal>
            <c:numRef>
              <c:f>'FUSION3_SH500 '!$A$12:$A$17</c:f>
              <c:numCache>
                <c:formatCode>General</c:formatCode>
                <c:ptCount val="6"/>
                <c:pt idx="0">
                  <c:v>0</c:v>
                </c:pt>
                <c:pt idx="1">
                  <c:v>500</c:v>
                </c:pt>
                <c:pt idx="2">
                  <c:v>1000</c:v>
                </c:pt>
                <c:pt idx="3">
                  <c:v>3000</c:v>
                </c:pt>
                <c:pt idx="4">
                  <c:v>4000</c:v>
                </c:pt>
                <c:pt idx="5">
                  <c:v>5000</c:v>
                </c:pt>
              </c:numCache>
            </c:numRef>
          </c:xVal>
          <c:yVal>
            <c:numRef>
              <c:f>'FUSION3_SH500 '!$W$12:$W$17</c:f>
              <c:numCache>
                <c:formatCode>General</c:formatCode>
                <c:ptCount val="6"/>
              </c:numCache>
            </c:numRef>
          </c:yVal>
          <c:smooth val="0"/>
          <c:extLst>
            <c:ext xmlns:c16="http://schemas.microsoft.com/office/drawing/2014/chart" uri="{C3380CC4-5D6E-409C-BE32-E72D297353CC}">
              <c16:uniqueId val="{0000000C-F2A4-4C31-8DBB-8E31FBFCC4FB}"/>
            </c:ext>
          </c:extLst>
        </c:ser>
        <c:ser>
          <c:idx val="6"/>
          <c:order val="6"/>
          <c:tx>
            <c:strRef>
              <c:f>'FUSION3_SH500 '!$Y$65</c:f>
              <c:strCache>
                <c:ptCount val="1"/>
                <c:pt idx="0">
                  <c:v>1100</c:v>
                </c:pt>
              </c:strCache>
            </c:strRef>
          </c:tx>
          <c:spPr>
            <a:ln w="19050"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xVal>
            <c:numRef>
              <c:f>'FUSION3_SH500 '!$R$66:$R$71</c:f>
              <c:numCache>
                <c:formatCode>General</c:formatCode>
                <c:ptCount val="6"/>
                <c:pt idx="0">
                  <c:v>0</c:v>
                </c:pt>
                <c:pt idx="1">
                  <c:v>500</c:v>
                </c:pt>
                <c:pt idx="2">
                  <c:v>1000</c:v>
                </c:pt>
                <c:pt idx="3">
                  <c:v>3000</c:v>
                </c:pt>
                <c:pt idx="4">
                  <c:v>4000</c:v>
                </c:pt>
                <c:pt idx="5">
                  <c:v>5000</c:v>
                </c:pt>
              </c:numCache>
            </c:numRef>
          </c:xVal>
          <c:yVal>
            <c:numRef>
              <c:f>'FUSION3_SH500 '!$Y$66:$Y$71</c:f>
              <c:numCache>
                <c:formatCode>0.00</c:formatCode>
                <c:ptCount val="6"/>
                <c:pt idx="0">
                  <c:v>257.71632791453186</c:v>
                </c:pt>
                <c:pt idx="1">
                  <c:v>242.5565439195594</c:v>
                </c:pt>
                <c:pt idx="2">
                  <c:v>237.50328258790191</c:v>
                </c:pt>
                <c:pt idx="3">
                  <c:v>212.23697592961446</c:v>
                </c:pt>
                <c:pt idx="4">
                  <c:v>202.13045326629947</c:v>
                </c:pt>
                <c:pt idx="5">
                  <c:v>197.077191934642</c:v>
                </c:pt>
              </c:numCache>
            </c:numRef>
          </c:yVal>
          <c:smooth val="0"/>
          <c:extLst>
            <c:ext xmlns:c16="http://schemas.microsoft.com/office/drawing/2014/chart" uri="{C3380CC4-5D6E-409C-BE32-E72D297353CC}">
              <c16:uniqueId val="{0000000D-F2A4-4C31-8DBB-8E31FBFCC4FB}"/>
            </c:ext>
          </c:extLst>
        </c:ser>
        <c:ser>
          <c:idx val="7"/>
          <c:order val="7"/>
          <c:tx>
            <c:strRef>
              <c:f>'FUSION3_SH500 '!$B$54</c:f>
              <c:strCache>
                <c:ptCount val="1"/>
                <c:pt idx="0">
                  <c:v>1100</c:v>
                </c:pt>
              </c:strCache>
            </c:strRef>
          </c:tx>
          <c:spPr>
            <a:ln w="19050"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trendline>
            <c:spPr>
              <a:ln w="19050" cap="rnd">
                <a:solidFill>
                  <a:schemeClr val="accent2">
                    <a:lumMod val="60000"/>
                  </a:schemeClr>
                </a:solidFill>
                <a:prstDash val="sysDot"/>
              </a:ln>
              <a:effectLst/>
            </c:spPr>
            <c:trendlineType val="linear"/>
            <c:dispRSqr val="0"/>
            <c:dispEq val="0"/>
          </c:trendline>
          <c:xVal>
            <c:numRef>
              <c:f>'FUSION3_SH500 '!$A$54:$A$59</c:f>
              <c:numCache>
                <c:formatCode>General</c:formatCode>
                <c:ptCount val="6"/>
                <c:pt idx="0">
                  <c:v>0</c:v>
                </c:pt>
                <c:pt idx="1">
                  <c:v>500</c:v>
                </c:pt>
                <c:pt idx="2">
                  <c:v>1000</c:v>
                </c:pt>
                <c:pt idx="3">
                  <c:v>3000</c:v>
                </c:pt>
                <c:pt idx="4">
                  <c:v>4000</c:v>
                </c:pt>
                <c:pt idx="5">
                  <c:v>5000</c:v>
                </c:pt>
              </c:numCache>
            </c:numRef>
          </c:xVal>
          <c:yVal>
            <c:numRef>
              <c:f>'FUSION3_SH500 '!$P$54:$P$59</c:f>
              <c:numCache>
                <c:formatCode>0.00</c:formatCode>
                <c:ptCount val="6"/>
                <c:pt idx="0">
                  <c:v>257.71632791453186</c:v>
                </c:pt>
                <c:pt idx="1">
                  <c:v>242.5565439195594</c:v>
                </c:pt>
                <c:pt idx="2">
                  <c:v>237.50328258790191</c:v>
                </c:pt>
                <c:pt idx="3">
                  <c:v>212.23697592961446</c:v>
                </c:pt>
                <c:pt idx="4">
                  <c:v>202.13045326629947</c:v>
                </c:pt>
                <c:pt idx="5">
                  <c:v>197.077191934642</c:v>
                </c:pt>
              </c:numCache>
            </c:numRef>
          </c:yVal>
          <c:smooth val="0"/>
          <c:extLst>
            <c:ext xmlns:c16="http://schemas.microsoft.com/office/drawing/2014/chart" uri="{C3380CC4-5D6E-409C-BE32-E72D297353CC}">
              <c16:uniqueId val="{0000000F-F2A4-4C31-8DBB-8E31FBFCC4FB}"/>
            </c:ext>
          </c:extLst>
        </c:ser>
        <c:dLbls>
          <c:showLegendKey val="0"/>
          <c:showVal val="0"/>
          <c:showCatName val="0"/>
          <c:showSerName val="0"/>
          <c:showPercent val="0"/>
          <c:showBubbleSize val="0"/>
        </c:dLbls>
        <c:axId val="705849336"/>
        <c:axId val="705839168"/>
      </c:scatterChart>
      <c:valAx>
        <c:axId val="7058493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Pressure (psi)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39168"/>
        <c:crosses val="autoZero"/>
        <c:crossBetween val="midCat"/>
        <c:majorUnit val="100"/>
      </c:valAx>
      <c:valAx>
        <c:axId val="705839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rate</a:t>
                </a:r>
                <a:r>
                  <a:rPr lang="en-US" baseline="0"/>
                  <a:t> (L/d)</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493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Comet2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COMET2_SH300!$B$46</c:f>
              <c:strCache>
                <c:ptCount val="1"/>
                <c:pt idx="0">
                  <c:v>1000</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2.3812676006669992E-2"/>
                  <c:y val="-0.15782530641367065"/>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COMET2_SH300!$A$46:$A$51</c:f>
              <c:numCache>
                <c:formatCode>General</c:formatCode>
                <c:ptCount val="6"/>
                <c:pt idx="0">
                  <c:v>0</c:v>
                </c:pt>
                <c:pt idx="1">
                  <c:v>100</c:v>
                </c:pt>
                <c:pt idx="2">
                  <c:v>500</c:v>
                </c:pt>
                <c:pt idx="3">
                  <c:v>1000</c:v>
                </c:pt>
                <c:pt idx="4">
                  <c:v>2000</c:v>
                </c:pt>
                <c:pt idx="5">
                  <c:v>3000</c:v>
                </c:pt>
              </c:numCache>
            </c:numRef>
          </c:xVal>
          <c:yVal>
            <c:numRef>
              <c:f>COMET2_SH300!$I$46:$I$51</c:f>
              <c:numCache>
                <c:formatCode>0.00</c:formatCode>
                <c:ptCount val="6"/>
                <c:pt idx="0">
                  <c:v>331.0344827586207</c:v>
                </c:pt>
                <c:pt idx="1">
                  <c:v>320</c:v>
                </c:pt>
                <c:pt idx="2">
                  <c:v>300</c:v>
                </c:pt>
                <c:pt idx="3">
                  <c:v>282.35294117647061</c:v>
                </c:pt>
                <c:pt idx="4">
                  <c:v>260.86956521739131</c:v>
                </c:pt>
                <c:pt idx="5">
                  <c:v>228.57142857142858</c:v>
                </c:pt>
              </c:numCache>
            </c:numRef>
          </c:yVal>
          <c:smooth val="0"/>
          <c:extLst>
            <c:ext xmlns:c16="http://schemas.microsoft.com/office/drawing/2014/chart" uri="{C3380CC4-5D6E-409C-BE32-E72D297353CC}">
              <c16:uniqueId val="{00000001-9B3F-4DD1-BD28-30B554C0C8A0}"/>
            </c:ext>
          </c:extLst>
        </c:ser>
        <c:ser>
          <c:idx val="1"/>
          <c:order val="1"/>
          <c:tx>
            <c:strRef>
              <c:f>COMET2_SH300!$B$39</c:f>
              <c:strCache>
                <c:ptCount val="1"/>
                <c:pt idx="0">
                  <c:v>800</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0"/>
            <c:dispEq val="0"/>
          </c:trendline>
          <c:xVal>
            <c:numRef>
              <c:f>COMET2_SH300!$A$39:$A$44</c:f>
              <c:numCache>
                <c:formatCode>General</c:formatCode>
                <c:ptCount val="6"/>
                <c:pt idx="0">
                  <c:v>0</c:v>
                </c:pt>
                <c:pt idx="1">
                  <c:v>100</c:v>
                </c:pt>
                <c:pt idx="2">
                  <c:v>500</c:v>
                </c:pt>
                <c:pt idx="3">
                  <c:v>1000</c:v>
                </c:pt>
                <c:pt idx="4">
                  <c:v>2000</c:v>
                </c:pt>
                <c:pt idx="5">
                  <c:v>3000</c:v>
                </c:pt>
              </c:numCache>
            </c:numRef>
          </c:xVal>
          <c:yVal>
            <c:numRef>
              <c:f>COMET2_SH300!$I$39:$I$44</c:f>
              <c:numCache>
                <c:formatCode>0.00</c:formatCode>
                <c:ptCount val="6"/>
                <c:pt idx="0">
                  <c:v>270.42253521126759</c:v>
                </c:pt>
                <c:pt idx="1">
                  <c:v>266.66666666666669</c:v>
                </c:pt>
                <c:pt idx="2">
                  <c:v>252.63157894736841</c:v>
                </c:pt>
                <c:pt idx="3">
                  <c:v>240</c:v>
                </c:pt>
                <c:pt idx="4">
                  <c:v>208.69565217391303</c:v>
                </c:pt>
                <c:pt idx="5">
                  <c:v>192</c:v>
                </c:pt>
              </c:numCache>
            </c:numRef>
          </c:yVal>
          <c:smooth val="0"/>
          <c:extLst>
            <c:ext xmlns:c16="http://schemas.microsoft.com/office/drawing/2014/chart" uri="{C3380CC4-5D6E-409C-BE32-E72D297353CC}">
              <c16:uniqueId val="{00000003-9B3F-4DD1-BD28-30B554C0C8A0}"/>
            </c:ext>
          </c:extLst>
        </c:ser>
        <c:ser>
          <c:idx val="2"/>
          <c:order val="2"/>
          <c:tx>
            <c:strRef>
              <c:f>COMET2_SH300!$B$32</c:f>
              <c:strCache>
                <c:ptCount val="1"/>
                <c:pt idx="0">
                  <c:v>600</c:v>
                </c:pt>
              </c:strCache>
            </c:strRef>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0"/>
            <c:dispEq val="0"/>
          </c:trendline>
          <c:xVal>
            <c:numRef>
              <c:f>COMET2_SH300!$A$32:$A$37</c:f>
              <c:numCache>
                <c:formatCode>General</c:formatCode>
                <c:ptCount val="6"/>
                <c:pt idx="0">
                  <c:v>0</c:v>
                </c:pt>
                <c:pt idx="1">
                  <c:v>100</c:v>
                </c:pt>
                <c:pt idx="2">
                  <c:v>500</c:v>
                </c:pt>
                <c:pt idx="3">
                  <c:v>1000</c:v>
                </c:pt>
                <c:pt idx="4">
                  <c:v>2000</c:v>
                </c:pt>
                <c:pt idx="5">
                  <c:v>3000</c:v>
                </c:pt>
              </c:numCache>
            </c:numRef>
          </c:xVal>
          <c:yVal>
            <c:numRef>
              <c:f>COMET2_SH300!$I$32:$I$37</c:f>
              <c:numCache>
                <c:formatCode>0.00</c:formatCode>
                <c:ptCount val="6"/>
                <c:pt idx="0">
                  <c:v>195.91836734693877</c:v>
                </c:pt>
                <c:pt idx="1">
                  <c:v>192</c:v>
                </c:pt>
                <c:pt idx="2">
                  <c:v>184.61538461538461</c:v>
                </c:pt>
                <c:pt idx="3">
                  <c:v>177.77777777777777</c:v>
                </c:pt>
                <c:pt idx="4">
                  <c:v>160</c:v>
                </c:pt>
                <c:pt idx="5">
                  <c:v>145.45454545454547</c:v>
                </c:pt>
              </c:numCache>
            </c:numRef>
          </c:yVal>
          <c:smooth val="0"/>
          <c:extLst>
            <c:ext xmlns:c16="http://schemas.microsoft.com/office/drawing/2014/chart" uri="{C3380CC4-5D6E-409C-BE32-E72D297353CC}">
              <c16:uniqueId val="{00000005-9B3F-4DD1-BD28-30B554C0C8A0}"/>
            </c:ext>
          </c:extLst>
        </c:ser>
        <c:ser>
          <c:idx val="3"/>
          <c:order val="3"/>
          <c:tx>
            <c:strRef>
              <c:f>COMET2_SH300!$B$25</c:f>
              <c:strCache>
                <c:ptCount val="1"/>
                <c:pt idx="0">
                  <c:v>400</c:v>
                </c:pt>
              </c:strCache>
            </c:strRef>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ly"/>
            <c:order val="2"/>
            <c:dispRSqr val="0"/>
            <c:dispEq val="0"/>
          </c:trendline>
          <c:xVal>
            <c:numRef>
              <c:f>COMET2_SH300!$A$25:$A$30</c:f>
              <c:numCache>
                <c:formatCode>General</c:formatCode>
                <c:ptCount val="6"/>
                <c:pt idx="0">
                  <c:v>0</c:v>
                </c:pt>
                <c:pt idx="1">
                  <c:v>100</c:v>
                </c:pt>
                <c:pt idx="2">
                  <c:v>500</c:v>
                </c:pt>
                <c:pt idx="3">
                  <c:v>1000</c:v>
                </c:pt>
                <c:pt idx="4">
                  <c:v>2000</c:v>
                </c:pt>
                <c:pt idx="5">
                  <c:v>3000</c:v>
                </c:pt>
              </c:numCache>
            </c:numRef>
          </c:xVal>
          <c:yVal>
            <c:numRef>
              <c:f>COMET2_SH300!$I$25:$I$30</c:f>
              <c:numCache>
                <c:formatCode>0.00</c:formatCode>
                <c:ptCount val="6"/>
                <c:pt idx="0">
                  <c:v>129.72972972972974</c:v>
                </c:pt>
                <c:pt idx="1">
                  <c:v>126.31578947368421</c:v>
                </c:pt>
                <c:pt idx="2">
                  <c:v>120</c:v>
                </c:pt>
                <c:pt idx="3">
                  <c:v>117.07317073170732</c:v>
                </c:pt>
                <c:pt idx="4">
                  <c:v>106.66666666666667</c:v>
                </c:pt>
                <c:pt idx="5">
                  <c:v>97.959183673469383</c:v>
                </c:pt>
              </c:numCache>
            </c:numRef>
          </c:yVal>
          <c:smooth val="0"/>
          <c:extLst>
            <c:ext xmlns:c16="http://schemas.microsoft.com/office/drawing/2014/chart" uri="{C3380CC4-5D6E-409C-BE32-E72D297353CC}">
              <c16:uniqueId val="{00000007-9B3F-4DD1-BD28-30B554C0C8A0}"/>
            </c:ext>
          </c:extLst>
        </c:ser>
        <c:ser>
          <c:idx val="4"/>
          <c:order val="4"/>
          <c:tx>
            <c:strRef>
              <c:f>COMET2_SH300!$B$18</c:f>
              <c:strCache>
                <c:ptCount val="1"/>
                <c:pt idx="0">
                  <c:v>200</c:v>
                </c:pt>
              </c:strCache>
            </c:strRef>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wer"/>
            <c:dispRSqr val="0"/>
            <c:dispEq val="0"/>
          </c:trendline>
          <c:trendline>
            <c:spPr>
              <a:ln w="19050" cap="rnd">
                <a:solidFill>
                  <a:schemeClr val="accent5"/>
                </a:solidFill>
                <a:prstDash val="sysDot"/>
              </a:ln>
              <a:effectLst/>
            </c:spPr>
            <c:trendlineType val="poly"/>
            <c:order val="2"/>
            <c:dispRSqr val="0"/>
            <c:dispEq val="0"/>
          </c:trendline>
          <c:xVal>
            <c:numRef>
              <c:f>COMET2_SH300!$A$18:$A$23</c:f>
              <c:numCache>
                <c:formatCode>General</c:formatCode>
                <c:ptCount val="6"/>
                <c:pt idx="0">
                  <c:v>0</c:v>
                </c:pt>
                <c:pt idx="1">
                  <c:v>100</c:v>
                </c:pt>
                <c:pt idx="2">
                  <c:v>500</c:v>
                </c:pt>
                <c:pt idx="3">
                  <c:v>1000</c:v>
                </c:pt>
                <c:pt idx="4">
                  <c:v>2000</c:v>
                </c:pt>
                <c:pt idx="5">
                  <c:v>3000</c:v>
                </c:pt>
              </c:numCache>
            </c:numRef>
          </c:xVal>
          <c:yVal>
            <c:numRef>
              <c:f>COMET2_SH300!$P$18:$P$23</c:f>
              <c:numCache>
                <c:formatCode>General</c:formatCode>
                <c:ptCount val="6"/>
                <c:pt idx="0">
                  <c:v>42.666666666666664</c:v>
                </c:pt>
                <c:pt idx="1">
                  <c:v>41.333333333333329</c:v>
                </c:pt>
                <c:pt idx="2">
                  <c:v>40.666666666666664</c:v>
                </c:pt>
                <c:pt idx="3">
                  <c:v>38</c:v>
                </c:pt>
                <c:pt idx="4">
                  <c:v>35.333333333333329</c:v>
                </c:pt>
                <c:pt idx="5">
                  <c:v>32.666666666666664</c:v>
                </c:pt>
              </c:numCache>
            </c:numRef>
          </c:yVal>
          <c:smooth val="0"/>
          <c:extLst>
            <c:ext xmlns:c16="http://schemas.microsoft.com/office/drawing/2014/chart" uri="{C3380CC4-5D6E-409C-BE32-E72D297353CC}">
              <c16:uniqueId val="{0000000A-9B3F-4DD1-BD28-30B554C0C8A0}"/>
            </c:ext>
          </c:extLst>
        </c:ser>
        <c:ser>
          <c:idx val="5"/>
          <c:order val="5"/>
          <c:tx>
            <c:strRef>
              <c:f>COMET2_SH300!$B$11</c:f>
              <c:strCache>
                <c:ptCount val="1"/>
                <c:pt idx="0">
                  <c:v>100</c:v>
                </c:pt>
              </c:strCache>
            </c:strRef>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0"/>
            <c:dispEq val="0"/>
          </c:trendline>
          <c:xVal>
            <c:numRef>
              <c:f>COMET2_SH300!$A$11:$A$16</c:f>
              <c:numCache>
                <c:formatCode>General</c:formatCode>
                <c:ptCount val="6"/>
                <c:pt idx="0">
                  <c:v>0</c:v>
                </c:pt>
                <c:pt idx="1">
                  <c:v>100</c:v>
                </c:pt>
                <c:pt idx="2">
                  <c:v>500</c:v>
                </c:pt>
                <c:pt idx="3">
                  <c:v>1000</c:v>
                </c:pt>
                <c:pt idx="4">
                  <c:v>2000</c:v>
                </c:pt>
                <c:pt idx="5">
                  <c:v>3000</c:v>
                </c:pt>
              </c:numCache>
            </c:numRef>
          </c:xVal>
          <c:yVal>
            <c:numRef>
              <c:f>COMET2_SH300!$P$11:$P$16</c:f>
              <c:numCache>
                <c:formatCode>General</c:formatCode>
                <c:ptCount val="6"/>
                <c:pt idx="0">
                  <c:v>32</c:v>
                </c:pt>
                <c:pt idx="1">
                  <c:v>31</c:v>
                </c:pt>
                <c:pt idx="2">
                  <c:v>29</c:v>
                </c:pt>
                <c:pt idx="3">
                  <c:v>28</c:v>
                </c:pt>
                <c:pt idx="4">
                  <c:v>26</c:v>
                </c:pt>
                <c:pt idx="5">
                  <c:v>24</c:v>
                </c:pt>
              </c:numCache>
            </c:numRef>
          </c:yVal>
          <c:smooth val="0"/>
          <c:extLst>
            <c:ext xmlns:c16="http://schemas.microsoft.com/office/drawing/2014/chart" uri="{C3380CC4-5D6E-409C-BE32-E72D297353CC}">
              <c16:uniqueId val="{0000000C-9B3F-4DD1-BD28-30B554C0C8A0}"/>
            </c:ext>
          </c:extLst>
        </c:ser>
        <c:dLbls>
          <c:showLegendKey val="0"/>
          <c:showVal val="0"/>
          <c:showCatName val="0"/>
          <c:showSerName val="0"/>
          <c:showPercent val="0"/>
          <c:showBubbleSize val="0"/>
        </c:dLbls>
        <c:axId val="705849336"/>
        <c:axId val="705839168"/>
      </c:scatterChart>
      <c:valAx>
        <c:axId val="7058493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Pressure (psi)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39168"/>
        <c:crosses val="autoZero"/>
        <c:crossBetween val="midCat"/>
        <c:majorUnit val="100"/>
      </c:valAx>
      <c:valAx>
        <c:axId val="705839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rate</a:t>
                </a:r>
                <a:r>
                  <a:rPr lang="en-US" baseline="0"/>
                  <a:t> (L/d)</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493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200</a:t>
            </a:r>
            <a:r>
              <a:rPr lang="en-US" baseline="0"/>
              <a:t> rpm</a:t>
            </a:r>
          </a:p>
        </c:rich>
      </c:tx>
      <c:layout>
        <c:manualLayout>
          <c:xMode val="edge"/>
          <c:yMode val="edge"/>
          <c:x val="0.36782633420822403"/>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'FUSION3_SH500 '!$V$85:$V$90</c:f>
              <c:numCache>
                <c:formatCode>General</c:formatCode>
                <c:ptCount val="6"/>
                <c:pt idx="0">
                  <c:v>3.37</c:v>
                </c:pt>
                <c:pt idx="1">
                  <c:v>6</c:v>
                </c:pt>
                <c:pt idx="2">
                  <c:v>9.6</c:v>
                </c:pt>
                <c:pt idx="3">
                  <c:v>38.4</c:v>
                </c:pt>
                <c:pt idx="4">
                  <c:v>60</c:v>
                </c:pt>
                <c:pt idx="5">
                  <c:v>74.400000000000006</c:v>
                </c:pt>
              </c:numCache>
            </c:numRef>
          </c:xVal>
          <c:yVal>
            <c:numRef>
              <c:f>'FUSION3_SH500 '!$W$85:$W$90</c:f>
              <c:numCache>
                <c:formatCode>0.00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0-DB53-4A48-BCD4-8928FD7654D7}"/>
            </c:ext>
          </c:extLst>
        </c:ser>
        <c:dLbls>
          <c:showLegendKey val="0"/>
          <c:showVal val="0"/>
          <c:showCatName val="0"/>
          <c:showSerName val="0"/>
          <c:showPercent val="0"/>
          <c:showBubbleSize val="0"/>
        </c:dLbls>
        <c:axId val="744525776"/>
        <c:axId val="744525120"/>
      </c:scatterChart>
      <c:valAx>
        <c:axId val="744525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525120"/>
        <c:crosses val="autoZero"/>
        <c:crossBetween val="midCat"/>
      </c:valAx>
      <c:valAx>
        <c:axId val="7445251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5257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100 rpm</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'FUSION3_SH500 '!$T$85:$T$90</c:f>
              <c:numCache>
                <c:formatCode>General</c:formatCode>
                <c:ptCount val="6"/>
                <c:pt idx="0">
                  <c:v>2.17</c:v>
                </c:pt>
                <c:pt idx="1">
                  <c:v>4.2</c:v>
                </c:pt>
                <c:pt idx="2">
                  <c:v>6.6000000000000005</c:v>
                </c:pt>
                <c:pt idx="3">
                  <c:v>21.6</c:v>
                </c:pt>
                <c:pt idx="4">
                  <c:v>31.2</c:v>
                </c:pt>
                <c:pt idx="5">
                  <c:v>39.6</c:v>
                </c:pt>
              </c:numCache>
            </c:numRef>
          </c:xVal>
          <c:yVal>
            <c:numRef>
              <c:f>'FUSION3_SH500 '!$U$85:$U$90</c:f>
              <c:numCache>
                <c:formatCode>0.00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0-1D30-4F84-BEEB-EFD52A6F0820}"/>
            </c:ext>
          </c:extLst>
        </c:ser>
        <c:dLbls>
          <c:showLegendKey val="0"/>
          <c:showVal val="0"/>
          <c:showCatName val="0"/>
          <c:showSerName val="0"/>
          <c:showPercent val="0"/>
          <c:showBubbleSize val="0"/>
        </c:dLbls>
        <c:axId val="747191888"/>
        <c:axId val="747205664"/>
      </c:scatterChart>
      <c:valAx>
        <c:axId val="747191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205664"/>
        <c:crosses val="autoZero"/>
        <c:crossBetween val="midCat"/>
      </c:valAx>
      <c:valAx>
        <c:axId val="7472056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19188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eff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'FUSION3_SH500 '!$B$54</c:f>
              <c:strCache>
                <c:ptCount val="1"/>
                <c:pt idx="0">
                  <c:v>1100</c:v>
                </c:pt>
              </c:strCache>
            </c:strRef>
          </c:tx>
          <c:spPr>
            <a:ln w="19050" cap="rnd">
              <a:solidFill>
                <a:schemeClr val="accent1"/>
              </a:solidFill>
              <a:round/>
            </a:ln>
            <a:effectLst/>
          </c:spPr>
          <c:marker>
            <c:symbol val="none"/>
          </c:marker>
          <c:xVal>
            <c:numRef>
              <c:f>'FUSION3_SH500 '!$A$54:$A$59</c:f>
              <c:numCache>
                <c:formatCode>General</c:formatCode>
                <c:ptCount val="6"/>
                <c:pt idx="0">
                  <c:v>0</c:v>
                </c:pt>
                <c:pt idx="1">
                  <c:v>500</c:v>
                </c:pt>
                <c:pt idx="2">
                  <c:v>1000</c:v>
                </c:pt>
                <c:pt idx="3">
                  <c:v>3000</c:v>
                </c:pt>
                <c:pt idx="4">
                  <c:v>4000</c:v>
                </c:pt>
                <c:pt idx="5">
                  <c:v>5000</c:v>
                </c:pt>
              </c:numCache>
            </c:numRef>
          </c:xVal>
          <c:yVal>
            <c:numRef>
              <c:f>'FUSION3_SH500 '!$R$54:$R$59</c:f>
              <c:numCache>
                <c:formatCode>0%</c:formatCode>
                <c:ptCount val="6"/>
                <c:pt idx="0">
                  <c:v>0</c:v>
                </c:pt>
                <c:pt idx="1">
                  <c:v>0.2983830500597755</c:v>
                </c:pt>
                <c:pt idx="2">
                  <c:v>0.43982089368129978</c:v>
                </c:pt>
                <c:pt idx="3">
                  <c:v>0.62422639979298389</c:v>
                </c:pt>
                <c:pt idx="4">
                  <c:v>0.63293374255103874</c:v>
                </c:pt>
                <c:pt idx="5">
                  <c:v>0.70710566550623866</c:v>
                </c:pt>
              </c:numCache>
            </c:numRef>
          </c:yVal>
          <c:smooth val="0"/>
          <c:extLst>
            <c:ext xmlns:c16="http://schemas.microsoft.com/office/drawing/2014/chart" uri="{C3380CC4-5D6E-409C-BE32-E72D297353CC}">
              <c16:uniqueId val="{00000000-CD13-424D-B4CB-6C00CDBC70E7}"/>
            </c:ext>
          </c:extLst>
        </c:ser>
        <c:ser>
          <c:idx val="1"/>
          <c:order val="1"/>
          <c:tx>
            <c:strRef>
              <c:f>'FUSION3_SH500 '!$B$40</c:f>
              <c:strCache>
                <c:ptCount val="1"/>
                <c:pt idx="0">
                  <c:v>800</c:v>
                </c:pt>
              </c:strCache>
            </c:strRef>
          </c:tx>
          <c:spPr>
            <a:ln w="19050" cap="rnd">
              <a:solidFill>
                <a:schemeClr val="accent2"/>
              </a:solidFill>
              <a:round/>
            </a:ln>
            <a:effectLst/>
          </c:spPr>
          <c:marker>
            <c:symbol val="none"/>
          </c:marker>
          <c:xVal>
            <c:numRef>
              <c:f>'FUSION3_SH500 '!$A$40:$A$45</c:f>
              <c:numCache>
                <c:formatCode>General</c:formatCode>
                <c:ptCount val="6"/>
                <c:pt idx="0">
                  <c:v>0</c:v>
                </c:pt>
                <c:pt idx="1">
                  <c:v>500</c:v>
                </c:pt>
                <c:pt idx="2">
                  <c:v>1000</c:v>
                </c:pt>
                <c:pt idx="3">
                  <c:v>3000</c:v>
                </c:pt>
                <c:pt idx="4">
                  <c:v>4000</c:v>
                </c:pt>
                <c:pt idx="5">
                  <c:v>5000</c:v>
                </c:pt>
              </c:numCache>
            </c:numRef>
          </c:xVal>
          <c:yVal>
            <c:numRef>
              <c:f>'FUSION3_SH500 '!$R$40:$R$45</c:f>
              <c:numCache>
                <c:formatCode>0%</c:formatCode>
                <c:ptCount val="6"/>
                <c:pt idx="0">
                  <c:v>0</c:v>
                </c:pt>
                <c:pt idx="1">
                  <c:v>0.29001325903425573</c:v>
                </c:pt>
                <c:pt idx="2">
                  <c:v>0.4351419480038391</c:v>
                </c:pt>
                <c:pt idx="3">
                  <c:v>0.60461828564743969</c:v>
                </c:pt>
                <c:pt idx="4">
                  <c:v>0.68518797717389668</c:v>
                </c:pt>
                <c:pt idx="5">
                  <c:v>0.54783602974575385</c:v>
                </c:pt>
              </c:numCache>
            </c:numRef>
          </c:yVal>
          <c:smooth val="0"/>
          <c:extLst>
            <c:ext xmlns:c16="http://schemas.microsoft.com/office/drawing/2014/chart" uri="{C3380CC4-5D6E-409C-BE32-E72D297353CC}">
              <c16:uniqueId val="{00000001-CD13-424D-B4CB-6C00CDBC70E7}"/>
            </c:ext>
          </c:extLst>
        </c:ser>
        <c:ser>
          <c:idx val="2"/>
          <c:order val="2"/>
          <c:tx>
            <c:strRef>
              <c:f>'FUSION3_SH500 '!$B$33</c:f>
              <c:strCache>
                <c:ptCount val="1"/>
                <c:pt idx="0">
                  <c:v>600</c:v>
                </c:pt>
              </c:strCache>
            </c:strRef>
          </c:tx>
          <c:spPr>
            <a:ln w="19050" cap="rnd">
              <a:solidFill>
                <a:schemeClr val="accent3"/>
              </a:solidFill>
              <a:round/>
            </a:ln>
            <a:effectLst/>
          </c:spPr>
          <c:marker>
            <c:symbol val="none"/>
          </c:marker>
          <c:xVal>
            <c:numRef>
              <c:f>'FUSION3_SH500 '!$A$33:$A$38</c:f>
              <c:numCache>
                <c:formatCode>General</c:formatCode>
                <c:ptCount val="6"/>
                <c:pt idx="0">
                  <c:v>0</c:v>
                </c:pt>
                <c:pt idx="1">
                  <c:v>500</c:v>
                </c:pt>
                <c:pt idx="2">
                  <c:v>1000</c:v>
                </c:pt>
                <c:pt idx="3">
                  <c:v>3000</c:v>
                </c:pt>
                <c:pt idx="4">
                  <c:v>4000</c:v>
                </c:pt>
                <c:pt idx="5">
                  <c:v>5000</c:v>
                </c:pt>
              </c:numCache>
            </c:numRef>
          </c:xVal>
          <c:yVal>
            <c:numRef>
              <c:f>'FUSION3_SH500 '!$R$33:$R$38</c:f>
              <c:numCache>
                <c:formatCode>0%</c:formatCode>
                <c:ptCount val="6"/>
                <c:pt idx="0">
                  <c:v>0</c:v>
                </c:pt>
                <c:pt idx="1">
                  <c:v>0.2989846287897347</c:v>
                </c:pt>
                <c:pt idx="2">
                  <c:v>0.44199192447564156</c:v>
                </c:pt>
                <c:pt idx="3">
                  <c:v>0.59676610011955089</c:v>
                </c:pt>
                <c:pt idx="4">
                  <c:v>0.63124591923756934</c:v>
                </c:pt>
                <c:pt idx="5">
                  <c:v>0.61559140720325478</c:v>
                </c:pt>
              </c:numCache>
            </c:numRef>
          </c:yVal>
          <c:smooth val="0"/>
          <c:extLst>
            <c:ext xmlns:c16="http://schemas.microsoft.com/office/drawing/2014/chart" uri="{C3380CC4-5D6E-409C-BE32-E72D297353CC}">
              <c16:uniqueId val="{00000002-CD13-424D-B4CB-6C00CDBC70E7}"/>
            </c:ext>
          </c:extLst>
        </c:ser>
        <c:ser>
          <c:idx val="3"/>
          <c:order val="3"/>
          <c:tx>
            <c:strRef>
              <c:f>'FUSION3_SH500 '!$B$26</c:f>
              <c:strCache>
                <c:ptCount val="1"/>
                <c:pt idx="0">
                  <c:v>400</c:v>
                </c:pt>
              </c:strCache>
            </c:strRef>
          </c:tx>
          <c:spPr>
            <a:ln w="19050" cap="rnd">
              <a:solidFill>
                <a:schemeClr val="accent4"/>
              </a:solidFill>
              <a:round/>
            </a:ln>
            <a:effectLst/>
          </c:spPr>
          <c:marker>
            <c:symbol val="none"/>
          </c:marker>
          <c:xVal>
            <c:numRef>
              <c:f>'FUSION3_SH500 '!$A$26:$A$31</c:f>
              <c:numCache>
                <c:formatCode>General</c:formatCode>
                <c:ptCount val="6"/>
                <c:pt idx="0">
                  <c:v>0</c:v>
                </c:pt>
                <c:pt idx="1">
                  <c:v>500</c:v>
                </c:pt>
                <c:pt idx="2">
                  <c:v>1000</c:v>
                </c:pt>
                <c:pt idx="3">
                  <c:v>3000</c:v>
                </c:pt>
                <c:pt idx="4">
                  <c:v>4000</c:v>
                </c:pt>
                <c:pt idx="5">
                  <c:v>5000</c:v>
                </c:pt>
              </c:numCache>
            </c:numRef>
          </c:xVal>
          <c:yVal>
            <c:numRef>
              <c:f>'FUSION3_SH500 '!$R$26:$R$31</c:f>
              <c:numCache>
                <c:formatCode>0%</c:formatCode>
                <c:ptCount val="6"/>
                <c:pt idx="0">
                  <c:v>0</c:v>
                </c:pt>
                <c:pt idx="1">
                  <c:v>0.35592592592592598</c:v>
                </c:pt>
                <c:pt idx="2">
                  <c:v>0.44285714285714289</c:v>
                </c:pt>
                <c:pt idx="3">
                  <c:v>0.51250000000000007</c:v>
                </c:pt>
                <c:pt idx="4">
                  <c:v>0.48372093023255813</c:v>
                </c:pt>
                <c:pt idx="5">
                  <c:v>0.42033898305084749</c:v>
                </c:pt>
              </c:numCache>
            </c:numRef>
          </c:yVal>
          <c:smooth val="0"/>
          <c:extLst>
            <c:ext xmlns:c16="http://schemas.microsoft.com/office/drawing/2014/chart" uri="{C3380CC4-5D6E-409C-BE32-E72D297353CC}">
              <c16:uniqueId val="{00000003-CD13-424D-B4CB-6C00CDBC70E7}"/>
            </c:ext>
          </c:extLst>
        </c:ser>
        <c:dLbls>
          <c:showLegendKey val="0"/>
          <c:showVal val="0"/>
          <c:showCatName val="0"/>
          <c:showSerName val="0"/>
          <c:showPercent val="0"/>
          <c:showBubbleSize val="0"/>
        </c:dLbls>
        <c:axId val="1526442784"/>
        <c:axId val="1526427424"/>
      </c:scatterChart>
      <c:valAx>
        <c:axId val="1526442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427424"/>
        <c:crosses val="autoZero"/>
        <c:crossBetween val="midCat"/>
      </c:valAx>
      <c:valAx>
        <c:axId val="1526427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44278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Fusion3 300</a:t>
            </a:r>
          </a:p>
        </c:rich>
      </c:tx>
      <c:layout>
        <c:manualLayout>
          <c:xMode val="edge"/>
          <c:yMode val="edge"/>
          <c:x val="0.30150113401050277"/>
          <c:y val="2.17821204808531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'FUSION3_DH500 '!$B$47</c:f>
              <c:strCache>
                <c:ptCount val="1"/>
                <c:pt idx="0">
                  <c:v>1000</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1.4594119979606865E-2"/>
                  <c:y val="-0.1451468566429196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'FUSION3_DH500 '!$A$47:$A$52</c:f>
              <c:numCache>
                <c:formatCode>General</c:formatCode>
                <c:ptCount val="6"/>
                <c:pt idx="0">
                  <c:v>0</c:v>
                </c:pt>
                <c:pt idx="1">
                  <c:v>500</c:v>
                </c:pt>
                <c:pt idx="2">
                  <c:v>1000</c:v>
                </c:pt>
                <c:pt idx="3">
                  <c:v>3000</c:v>
                </c:pt>
                <c:pt idx="4">
                  <c:v>4000</c:v>
                </c:pt>
                <c:pt idx="5">
                  <c:v>5000</c:v>
                </c:pt>
              </c:numCache>
            </c:numRef>
          </c:xVal>
          <c:yVal>
            <c:numRef>
              <c:f>'FUSION3_DH500 '!$P$47:$P$52</c:f>
              <c:numCache>
                <c:formatCode>0.00</c:formatCode>
                <c:ptCount val="6"/>
                <c:pt idx="0">
                  <c:v>480.0598265074612</c:v>
                </c:pt>
                <c:pt idx="1">
                  <c:v>449.74025851751634</c:v>
                </c:pt>
                <c:pt idx="2">
                  <c:v>434.58047452254391</c:v>
                </c:pt>
                <c:pt idx="3">
                  <c:v>384.04786120596901</c:v>
                </c:pt>
                <c:pt idx="4">
                  <c:v>368.88807721099653</c:v>
                </c:pt>
                <c:pt idx="5">
                  <c:v>343.62177055270905</c:v>
                </c:pt>
              </c:numCache>
            </c:numRef>
          </c:yVal>
          <c:smooth val="0"/>
          <c:extLst>
            <c:ext xmlns:c16="http://schemas.microsoft.com/office/drawing/2014/chart" uri="{C3380CC4-5D6E-409C-BE32-E72D297353CC}">
              <c16:uniqueId val="{00000001-6FBF-4CBA-B4FA-E8FCB34E5EAB}"/>
            </c:ext>
          </c:extLst>
        </c:ser>
        <c:ser>
          <c:idx val="1"/>
          <c:order val="1"/>
          <c:tx>
            <c:strRef>
              <c:f>'FUSION3_DH500 '!$B$40</c:f>
              <c:strCache>
                <c:ptCount val="1"/>
                <c:pt idx="0">
                  <c:v>800</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0"/>
            <c:dispEq val="0"/>
          </c:trendline>
          <c:xVal>
            <c:numRef>
              <c:f>'FUSION3_DH500 '!$A$40:$A$45</c:f>
              <c:numCache>
                <c:formatCode>General</c:formatCode>
                <c:ptCount val="6"/>
                <c:pt idx="0">
                  <c:v>0</c:v>
                </c:pt>
                <c:pt idx="1">
                  <c:v>500</c:v>
                </c:pt>
                <c:pt idx="2">
                  <c:v>1000</c:v>
                </c:pt>
                <c:pt idx="3">
                  <c:v>3000</c:v>
                </c:pt>
                <c:pt idx="4">
                  <c:v>4000</c:v>
                </c:pt>
                <c:pt idx="5">
                  <c:v>5000</c:v>
                </c:pt>
              </c:numCache>
            </c:numRef>
          </c:xVal>
          <c:yVal>
            <c:numRef>
              <c:f>'FUSION3_DH500 '!$P$40:$P$45</c:f>
              <c:numCache>
                <c:formatCode>0.00</c:formatCode>
                <c:ptCount val="6"/>
                <c:pt idx="0">
                  <c:v>384.04786120596901</c:v>
                </c:pt>
                <c:pt idx="1">
                  <c:v>363.83481587933903</c:v>
                </c:pt>
                <c:pt idx="2">
                  <c:v>348.67503188436666</c:v>
                </c:pt>
                <c:pt idx="3">
                  <c:v>308.2489412311067</c:v>
                </c:pt>
                <c:pt idx="4">
                  <c:v>289.04654817080831</c:v>
                </c:pt>
                <c:pt idx="5">
                  <c:v>272.87611190950429</c:v>
                </c:pt>
              </c:numCache>
            </c:numRef>
          </c:yVal>
          <c:smooth val="0"/>
          <c:extLst>
            <c:ext xmlns:c16="http://schemas.microsoft.com/office/drawing/2014/chart" uri="{C3380CC4-5D6E-409C-BE32-E72D297353CC}">
              <c16:uniqueId val="{00000003-6FBF-4CBA-B4FA-E8FCB34E5EAB}"/>
            </c:ext>
          </c:extLst>
        </c:ser>
        <c:ser>
          <c:idx val="2"/>
          <c:order val="2"/>
          <c:tx>
            <c:strRef>
              <c:f>'FUSION3_DH500 '!$B$33</c:f>
              <c:strCache>
                <c:ptCount val="1"/>
                <c:pt idx="0">
                  <c:v>600</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0"/>
            <c:dispEq val="0"/>
          </c:trendline>
          <c:xVal>
            <c:numRef>
              <c:f>'FUSION3_DH500 '!$A$33:$A$38</c:f>
              <c:numCache>
                <c:formatCode>General</c:formatCode>
                <c:ptCount val="6"/>
                <c:pt idx="0">
                  <c:v>0</c:v>
                </c:pt>
                <c:pt idx="1">
                  <c:v>500</c:v>
                </c:pt>
                <c:pt idx="2">
                  <c:v>1000</c:v>
                </c:pt>
                <c:pt idx="3">
                  <c:v>3000</c:v>
                </c:pt>
                <c:pt idx="4">
                  <c:v>4000</c:v>
                </c:pt>
                <c:pt idx="5">
                  <c:v>5000</c:v>
                </c:pt>
              </c:numCache>
            </c:numRef>
          </c:xVal>
          <c:yVal>
            <c:numRef>
              <c:f>'FUSION3_DH500 '!$P$33:$P$38</c:f>
              <c:numCache>
                <c:formatCode>0.00</c:formatCode>
                <c:ptCount val="6"/>
                <c:pt idx="0">
                  <c:v>293.08915723613427</c:v>
                </c:pt>
                <c:pt idx="1">
                  <c:v>277.92937324116178</c:v>
                </c:pt>
                <c:pt idx="2">
                  <c:v>262.7695892461893</c:v>
                </c:pt>
                <c:pt idx="3">
                  <c:v>237.50328258790191</c:v>
                </c:pt>
                <c:pt idx="4">
                  <c:v>227.39675992458692</c:v>
                </c:pt>
                <c:pt idx="5">
                  <c:v>212.23697592961446</c:v>
                </c:pt>
              </c:numCache>
            </c:numRef>
          </c:yVal>
          <c:smooth val="0"/>
          <c:extLst>
            <c:ext xmlns:c16="http://schemas.microsoft.com/office/drawing/2014/chart" uri="{C3380CC4-5D6E-409C-BE32-E72D297353CC}">
              <c16:uniqueId val="{00000005-6FBF-4CBA-B4FA-E8FCB34E5EAB}"/>
            </c:ext>
          </c:extLst>
        </c:ser>
        <c:ser>
          <c:idx val="3"/>
          <c:order val="3"/>
          <c:tx>
            <c:strRef>
              <c:f>'FUSION3_DH500 '!$B$26</c:f>
              <c:strCache>
                <c:ptCount val="1"/>
                <c:pt idx="0">
                  <c:v>400</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ly"/>
            <c:order val="2"/>
            <c:dispRSqr val="0"/>
            <c:dispEq val="0"/>
          </c:trendline>
          <c:xVal>
            <c:numRef>
              <c:f>'FUSION3_DH500 '!$A$26:$A$31</c:f>
              <c:numCache>
                <c:formatCode>General</c:formatCode>
                <c:ptCount val="6"/>
                <c:pt idx="0">
                  <c:v>0</c:v>
                </c:pt>
                <c:pt idx="1">
                  <c:v>500</c:v>
                </c:pt>
                <c:pt idx="2">
                  <c:v>1000</c:v>
                </c:pt>
                <c:pt idx="3">
                  <c:v>3000</c:v>
                </c:pt>
                <c:pt idx="4">
                  <c:v>4000</c:v>
                </c:pt>
                <c:pt idx="5">
                  <c:v>5000</c:v>
                </c:pt>
              </c:numCache>
            </c:numRef>
          </c:xVal>
          <c:yVal>
            <c:numRef>
              <c:f>'FUSION3_DH500 '!$P$26:$P$31</c:f>
              <c:numCache>
                <c:formatCode>0.00</c:formatCode>
                <c:ptCount val="6"/>
                <c:pt idx="0">
                  <c:v>190</c:v>
                </c:pt>
                <c:pt idx="1">
                  <c:v>182</c:v>
                </c:pt>
                <c:pt idx="2">
                  <c:v>178</c:v>
                </c:pt>
                <c:pt idx="3">
                  <c:v>160</c:v>
                </c:pt>
                <c:pt idx="4">
                  <c:v>151</c:v>
                </c:pt>
                <c:pt idx="5">
                  <c:v>140</c:v>
                </c:pt>
              </c:numCache>
            </c:numRef>
          </c:yVal>
          <c:smooth val="0"/>
          <c:extLst>
            <c:ext xmlns:c16="http://schemas.microsoft.com/office/drawing/2014/chart" uri="{C3380CC4-5D6E-409C-BE32-E72D297353CC}">
              <c16:uniqueId val="{00000007-6FBF-4CBA-B4FA-E8FCB34E5EAB}"/>
            </c:ext>
          </c:extLst>
        </c:ser>
        <c:ser>
          <c:idx val="4"/>
          <c:order val="4"/>
          <c:tx>
            <c:strRef>
              <c:f>'FUSION3_DH500 '!$B$19</c:f>
              <c:strCache>
                <c:ptCount val="1"/>
                <c:pt idx="0">
                  <c:v>200</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wer"/>
            <c:dispRSqr val="0"/>
            <c:dispEq val="0"/>
          </c:trendline>
          <c:trendline>
            <c:spPr>
              <a:ln w="19050" cap="rnd">
                <a:solidFill>
                  <a:schemeClr val="accent5"/>
                </a:solidFill>
                <a:prstDash val="sysDot"/>
              </a:ln>
              <a:effectLst/>
            </c:spPr>
            <c:trendlineType val="poly"/>
            <c:order val="2"/>
            <c:dispRSqr val="0"/>
            <c:dispEq val="0"/>
          </c:trendline>
          <c:xVal>
            <c:numRef>
              <c:f>'FUSION3_DH500 '!$A$19:$A$24</c:f>
              <c:numCache>
                <c:formatCode>General</c:formatCode>
                <c:ptCount val="6"/>
                <c:pt idx="0">
                  <c:v>0</c:v>
                </c:pt>
                <c:pt idx="1">
                  <c:v>500</c:v>
                </c:pt>
                <c:pt idx="2">
                  <c:v>1000</c:v>
                </c:pt>
                <c:pt idx="3">
                  <c:v>3000</c:v>
                </c:pt>
                <c:pt idx="4">
                  <c:v>4000</c:v>
                </c:pt>
                <c:pt idx="5">
                  <c:v>5000</c:v>
                </c:pt>
              </c:numCache>
            </c:numRef>
          </c:xVal>
          <c:yVal>
            <c:numRef>
              <c:f>'FUSION3_DH500 '!$W$19:$W$24</c:f>
              <c:numCache>
                <c:formatCode>General</c:formatCode>
                <c:ptCount val="6"/>
              </c:numCache>
            </c:numRef>
          </c:yVal>
          <c:smooth val="0"/>
          <c:extLst>
            <c:ext xmlns:c16="http://schemas.microsoft.com/office/drawing/2014/chart" uri="{C3380CC4-5D6E-409C-BE32-E72D297353CC}">
              <c16:uniqueId val="{0000000A-6FBF-4CBA-B4FA-E8FCB34E5EAB}"/>
            </c:ext>
          </c:extLst>
        </c:ser>
        <c:ser>
          <c:idx val="5"/>
          <c:order val="5"/>
          <c:tx>
            <c:strRef>
              <c:f>'FUSION3_DH500 '!$B$12</c:f>
              <c:strCache>
                <c:ptCount val="1"/>
                <c:pt idx="0">
                  <c:v>100</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0"/>
            <c:dispEq val="0"/>
          </c:trendline>
          <c:xVal>
            <c:numRef>
              <c:f>'FUSION3_DH500 '!$A$12:$A$17</c:f>
              <c:numCache>
                <c:formatCode>General</c:formatCode>
                <c:ptCount val="6"/>
                <c:pt idx="0">
                  <c:v>0</c:v>
                </c:pt>
                <c:pt idx="1">
                  <c:v>500</c:v>
                </c:pt>
                <c:pt idx="2">
                  <c:v>1000</c:v>
                </c:pt>
                <c:pt idx="3">
                  <c:v>3000</c:v>
                </c:pt>
                <c:pt idx="4">
                  <c:v>4000</c:v>
                </c:pt>
                <c:pt idx="5">
                  <c:v>5000</c:v>
                </c:pt>
              </c:numCache>
            </c:numRef>
          </c:xVal>
          <c:yVal>
            <c:numRef>
              <c:f>'FUSION3_DH500 '!$W$12:$W$17</c:f>
              <c:numCache>
                <c:formatCode>General</c:formatCode>
                <c:ptCount val="6"/>
              </c:numCache>
            </c:numRef>
          </c:yVal>
          <c:smooth val="0"/>
          <c:extLst>
            <c:ext xmlns:c16="http://schemas.microsoft.com/office/drawing/2014/chart" uri="{C3380CC4-5D6E-409C-BE32-E72D297353CC}">
              <c16:uniqueId val="{0000000C-6FBF-4CBA-B4FA-E8FCB34E5EAB}"/>
            </c:ext>
          </c:extLst>
        </c:ser>
        <c:ser>
          <c:idx val="6"/>
          <c:order val="6"/>
          <c:tx>
            <c:strRef>
              <c:f>'FUSION3_DH500 '!$Y$65</c:f>
              <c:strCache>
                <c:ptCount val="1"/>
                <c:pt idx="0">
                  <c:v>1100</c:v>
                </c:pt>
              </c:strCache>
            </c:strRef>
          </c:tx>
          <c:spPr>
            <a:ln w="19050"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xVal>
            <c:numRef>
              <c:f>'FUSION3_DH500 '!$R$66:$R$71</c:f>
              <c:numCache>
                <c:formatCode>General</c:formatCode>
                <c:ptCount val="6"/>
                <c:pt idx="0">
                  <c:v>0</c:v>
                </c:pt>
                <c:pt idx="1">
                  <c:v>500</c:v>
                </c:pt>
                <c:pt idx="2">
                  <c:v>1000</c:v>
                </c:pt>
                <c:pt idx="3">
                  <c:v>3000</c:v>
                </c:pt>
                <c:pt idx="4">
                  <c:v>4000</c:v>
                </c:pt>
                <c:pt idx="5">
                  <c:v>5000</c:v>
                </c:pt>
              </c:numCache>
            </c:numRef>
          </c:xVal>
          <c:yVal>
            <c:numRef>
              <c:f>'FUSION3_DH500 '!$Y$66:$Y$71</c:f>
              <c:numCache>
                <c:formatCode>0.00</c:formatCode>
                <c:ptCount val="6"/>
                <c:pt idx="0">
                  <c:v>525.5391784923786</c:v>
                </c:pt>
                <c:pt idx="1">
                  <c:v>495.2196105024338</c:v>
                </c:pt>
                <c:pt idx="2">
                  <c:v>480.0598265074612</c:v>
                </c:pt>
                <c:pt idx="3">
                  <c:v>439.63373585420135</c:v>
                </c:pt>
                <c:pt idx="4">
                  <c:v>394.154383869284</c:v>
                </c:pt>
                <c:pt idx="5">
                  <c:v>353.72829321602404</c:v>
                </c:pt>
              </c:numCache>
            </c:numRef>
          </c:yVal>
          <c:smooth val="0"/>
          <c:extLst>
            <c:ext xmlns:c16="http://schemas.microsoft.com/office/drawing/2014/chart" uri="{C3380CC4-5D6E-409C-BE32-E72D297353CC}">
              <c16:uniqueId val="{0000000D-6FBF-4CBA-B4FA-E8FCB34E5EAB}"/>
            </c:ext>
          </c:extLst>
        </c:ser>
        <c:ser>
          <c:idx val="7"/>
          <c:order val="7"/>
          <c:tx>
            <c:strRef>
              <c:f>'FUSION3_DH500 '!$B$54</c:f>
              <c:strCache>
                <c:ptCount val="1"/>
                <c:pt idx="0">
                  <c:v>1100</c:v>
                </c:pt>
              </c:strCache>
            </c:strRef>
          </c:tx>
          <c:spPr>
            <a:ln w="19050"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trendline>
            <c:spPr>
              <a:ln w="19050" cap="rnd">
                <a:solidFill>
                  <a:schemeClr val="accent2">
                    <a:lumMod val="60000"/>
                  </a:schemeClr>
                </a:solidFill>
                <a:prstDash val="sysDot"/>
              </a:ln>
              <a:effectLst/>
            </c:spPr>
            <c:trendlineType val="linear"/>
            <c:dispRSqr val="0"/>
            <c:dispEq val="0"/>
          </c:trendline>
          <c:xVal>
            <c:numRef>
              <c:f>'FUSION3_DH500 '!$A$54:$A$59</c:f>
              <c:numCache>
                <c:formatCode>General</c:formatCode>
                <c:ptCount val="6"/>
                <c:pt idx="0">
                  <c:v>0</c:v>
                </c:pt>
                <c:pt idx="1">
                  <c:v>500</c:v>
                </c:pt>
                <c:pt idx="2">
                  <c:v>1000</c:v>
                </c:pt>
                <c:pt idx="3">
                  <c:v>3000</c:v>
                </c:pt>
                <c:pt idx="4">
                  <c:v>4000</c:v>
                </c:pt>
                <c:pt idx="5">
                  <c:v>5000</c:v>
                </c:pt>
              </c:numCache>
            </c:numRef>
          </c:xVal>
          <c:yVal>
            <c:numRef>
              <c:f>'FUSION3_DH500 '!$P$54:$P$59</c:f>
              <c:numCache>
                <c:formatCode>0.00</c:formatCode>
                <c:ptCount val="6"/>
                <c:pt idx="0">
                  <c:v>525.5391784923786</c:v>
                </c:pt>
                <c:pt idx="1">
                  <c:v>495.2196105024338</c:v>
                </c:pt>
                <c:pt idx="2">
                  <c:v>480.0598265074612</c:v>
                </c:pt>
                <c:pt idx="3">
                  <c:v>439.63373585420135</c:v>
                </c:pt>
                <c:pt idx="4">
                  <c:v>394.154383869284</c:v>
                </c:pt>
                <c:pt idx="5">
                  <c:v>353.72829321602404</c:v>
                </c:pt>
              </c:numCache>
            </c:numRef>
          </c:yVal>
          <c:smooth val="0"/>
          <c:extLst>
            <c:ext xmlns:c16="http://schemas.microsoft.com/office/drawing/2014/chart" uri="{C3380CC4-5D6E-409C-BE32-E72D297353CC}">
              <c16:uniqueId val="{0000000F-6FBF-4CBA-B4FA-E8FCB34E5EAB}"/>
            </c:ext>
          </c:extLst>
        </c:ser>
        <c:dLbls>
          <c:showLegendKey val="0"/>
          <c:showVal val="0"/>
          <c:showCatName val="0"/>
          <c:showSerName val="0"/>
          <c:showPercent val="0"/>
          <c:showBubbleSize val="0"/>
        </c:dLbls>
        <c:axId val="705849336"/>
        <c:axId val="705839168"/>
      </c:scatterChart>
      <c:valAx>
        <c:axId val="7058493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Pressure (psi)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39168"/>
        <c:crosses val="autoZero"/>
        <c:crossBetween val="midCat"/>
        <c:majorUnit val="100"/>
      </c:valAx>
      <c:valAx>
        <c:axId val="705839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rate</a:t>
                </a:r>
                <a:r>
                  <a:rPr lang="en-US" baseline="0"/>
                  <a:t> (L/d)</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493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200</a:t>
            </a:r>
            <a:r>
              <a:rPr lang="en-US" baseline="0"/>
              <a:t> rpm</a:t>
            </a:r>
          </a:p>
        </c:rich>
      </c:tx>
      <c:layout>
        <c:manualLayout>
          <c:xMode val="edge"/>
          <c:yMode val="edge"/>
          <c:x val="0.36782633420822403"/>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'FUSION3_DH500 '!$V$85:$V$90</c:f>
              <c:numCache>
                <c:formatCode>General</c:formatCode>
                <c:ptCount val="6"/>
                <c:pt idx="0">
                  <c:v>2.77</c:v>
                </c:pt>
                <c:pt idx="1">
                  <c:v>7.8</c:v>
                </c:pt>
                <c:pt idx="2">
                  <c:v>13.200000000000001</c:v>
                </c:pt>
                <c:pt idx="3">
                  <c:v>42</c:v>
                </c:pt>
                <c:pt idx="4">
                  <c:v>58.8</c:v>
                </c:pt>
                <c:pt idx="5">
                  <c:v>79.2</c:v>
                </c:pt>
              </c:numCache>
            </c:numRef>
          </c:xVal>
          <c:yVal>
            <c:numRef>
              <c:f>'FUSION3_DH500 '!$W$85:$W$90</c:f>
              <c:numCache>
                <c:formatCode>0.00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0-87DE-4182-B0E4-340EB64E4A89}"/>
            </c:ext>
          </c:extLst>
        </c:ser>
        <c:dLbls>
          <c:showLegendKey val="0"/>
          <c:showVal val="0"/>
          <c:showCatName val="0"/>
          <c:showSerName val="0"/>
          <c:showPercent val="0"/>
          <c:showBubbleSize val="0"/>
        </c:dLbls>
        <c:axId val="744525776"/>
        <c:axId val="744525120"/>
      </c:scatterChart>
      <c:valAx>
        <c:axId val="744525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525120"/>
        <c:crosses val="autoZero"/>
        <c:crossBetween val="midCat"/>
      </c:valAx>
      <c:valAx>
        <c:axId val="7445251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5257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100 rpm</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'FUSION3_DH500 '!$T$85:$T$90</c:f>
              <c:numCache>
                <c:formatCode>General</c:formatCode>
                <c:ptCount val="6"/>
                <c:pt idx="0">
                  <c:v>1.77</c:v>
                </c:pt>
                <c:pt idx="1">
                  <c:v>3.6</c:v>
                </c:pt>
                <c:pt idx="2">
                  <c:v>7.2</c:v>
                </c:pt>
                <c:pt idx="3">
                  <c:v>19.2</c:v>
                </c:pt>
                <c:pt idx="4">
                  <c:v>26</c:v>
                </c:pt>
                <c:pt idx="5">
                  <c:v>36</c:v>
                </c:pt>
              </c:numCache>
            </c:numRef>
          </c:xVal>
          <c:yVal>
            <c:numRef>
              <c:f>'FUSION3_DH500 '!$U$85:$U$90</c:f>
              <c:numCache>
                <c:formatCode>0.00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0-2285-4A36-801A-D0270BF02DBF}"/>
            </c:ext>
          </c:extLst>
        </c:ser>
        <c:dLbls>
          <c:showLegendKey val="0"/>
          <c:showVal val="0"/>
          <c:showCatName val="0"/>
          <c:showSerName val="0"/>
          <c:showPercent val="0"/>
          <c:showBubbleSize val="0"/>
        </c:dLbls>
        <c:axId val="747191888"/>
        <c:axId val="747205664"/>
      </c:scatterChart>
      <c:valAx>
        <c:axId val="747191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205664"/>
        <c:crosses val="autoZero"/>
        <c:crossBetween val="midCat"/>
      </c:valAx>
      <c:valAx>
        <c:axId val="7472056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19188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eff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'FUSION3_DH500 '!$B$54</c:f>
              <c:strCache>
                <c:ptCount val="1"/>
                <c:pt idx="0">
                  <c:v>1100</c:v>
                </c:pt>
              </c:strCache>
            </c:strRef>
          </c:tx>
          <c:spPr>
            <a:ln w="19050" cap="rnd">
              <a:solidFill>
                <a:schemeClr val="accent1"/>
              </a:solidFill>
              <a:round/>
            </a:ln>
            <a:effectLst/>
          </c:spPr>
          <c:marker>
            <c:symbol val="none"/>
          </c:marker>
          <c:xVal>
            <c:numRef>
              <c:f>'FUSION3_DH500 '!$A$54:$A$59</c:f>
              <c:numCache>
                <c:formatCode>General</c:formatCode>
                <c:ptCount val="6"/>
                <c:pt idx="0">
                  <c:v>0</c:v>
                </c:pt>
                <c:pt idx="1">
                  <c:v>500</c:v>
                </c:pt>
                <c:pt idx="2">
                  <c:v>1000</c:v>
                </c:pt>
                <c:pt idx="3">
                  <c:v>3000</c:v>
                </c:pt>
                <c:pt idx="4">
                  <c:v>4000</c:v>
                </c:pt>
                <c:pt idx="5">
                  <c:v>5000</c:v>
                </c:pt>
              </c:numCache>
            </c:numRef>
          </c:xVal>
          <c:yVal>
            <c:numRef>
              <c:f>'FUSION3_DH500 '!$R$54:$R$59</c:f>
              <c:numCache>
                <c:formatCode>0%</c:formatCode>
                <c:ptCount val="6"/>
                <c:pt idx="0">
                  <c:v>0</c:v>
                </c:pt>
                <c:pt idx="1">
                  <c:v>0.38767191731251133</c:v>
                </c:pt>
                <c:pt idx="2">
                  <c:v>0.53339980723051239</c:v>
                </c:pt>
                <c:pt idx="3">
                  <c:v>0.75088957639009601</c:v>
                </c:pt>
                <c:pt idx="4">
                  <c:v>0.70526902741401465</c:v>
                </c:pt>
                <c:pt idx="5">
                  <c:v>0.70837061302950544</c:v>
                </c:pt>
              </c:numCache>
            </c:numRef>
          </c:yVal>
          <c:smooth val="0"/>
          <c:extLst>
            <c:ext xmlns:c16="http://schemas.microsoft.com/office/drawing/2014/chart" uri="{C3380CC4-5D6E-409C-BE32-E72D297353CC}">
              <c16:uniqueId val="{00000000-AC2E-4237-BAF8-85623098C09A}"/>
            </c:ext>
          </c:extLst>
        </c:ser>
        <c:ser>
          <c:idx val="1"/>
          <c:order val="1"/>
          <c:tx>
            <c:strRef>
              <c:f>'FUSION3_DH500 '!$B$40</c:f>
              <c:strCache>
                <c:ptCount val="1"/>
                <c:pt idx="0">
                  <c:v>800</c:v>
                </c:pt>
              </c:strCache>
            </c:strRef>
          </c:tx>
          <c:spPr>
            <a:ln w="19050" cap="rnd">
              <a:solidFill>
                <a:schemeClr val="accent2"/>
              </a:solidFill>
              <a:round/>
            </a:ln>
            <a:effectLst/>
          </c:spPr>
          <c:marker>
            <c:symbol val="none"/>
          </c:marker>
          <c:xVal>
            <c:numRef>
              <c:f>'FUSION3_DH500 '!$A$40:$A$45</c:f>
              <c:numCache>
                <c:formatCode>General</c:formatCode>
                <c:ptCount val="6"/>
                <c:pt idx="0">
                  <c:v>0</c:v>
                </c:pt>
                <c:pt idx="1">
                  <c:v>500</c:v>
                </c:pt>
                <c:pt idx="2">
                  <c:v>1000</c:v>
                </c:pt>
                <c:pt idx="3">
                  <c:v>3000</c:v>
                </c:pt>
                <c:pt idx="4">
                  <c:v>4000</c:v>
                </c:pt>
                <c:pt idx="5">
                  <c:v>5000</c:v>
                </c:pt>
              </c:numCache>
            </c:numRef>
          </c:xVal>
          <c:yVal>
            <c:numRef>
              <c:f>'FUSION3_DH500 '!$R$40:$R$45</c:f>
              <c:numCache>
                <c:formatCode>0%</c:formatCode>
                <c:ptCount val="6"/>
                <c:pt idx="0">
                  <c:v>0</c:v>
                </c:pt>
                <c:pt idx="1">
                  <c:v>0.40426090653259888</c:v>
                </c:pt>
                <c:pt idx="2">
                  <c:v>0.52217033760460707</c:v>
                </c:pt>
                <c:pt idx="3">
                  <c:v>0.70005254052485766</c:v>
                </c:pt>
                <c:pt idx="4">
                  <c:v>0.67498628951375206</c:v>
                </c:pt>
                <c:pt idx="5">
                  <c:v>0.62534108979261405</c:v>
                </c:pt>
              </c:numCache>
            </c:numRef>
          </c:yVal>
          <c:smooth val="0"/>
          <c:extLst>
            <c:ext xmlns:c16="http://schemas.microsoft.com/office/drawing/2014/chart" uri="{C3380CC4-5D6E-409C-BE32-E72D297353CC}">
              <c16:uniqueId val="{00000001-AC2E-4237-BAF8-85623098C09A}"/>
            </c:ext>
          </c:extLst>
        </c:ser>
        <c:ser>
          <c:idx val="2"/>
          <c:order val="2"/>
          <c:tx>
            <c:strRef>
              <c:f>'FUSION3_DH500 '!$B$33</c:f>
              <c:strCache>
                <c:ptCount val="1"/>
                <c:pt idx="0">
                  <c:v>600</c:v>
                </c:pt>
              </c:strCache>
            </c:strRef>
          </c:tx>
          <c:spPr>
            <a:ln w="19050" cap="rnd">
              <a:solidFill>
                <a:schemeClr val="accent3"/>
              </a:solidFill>
              <a:round/>
            </a:ln>
            <a:effectLst/>
          </c:spPr>
          <c:marker>
            <c:symbol val="none"/>
          </c:marker>
          <c:xVal>
            <c:numRef>
              <c:f>'FUSION3_DH500 '!$A$33:$A$38</c:f>
              <c:numCache>
                <c:formatCode>General</c:formatCode>
                <c:ptCount val="6"/>
                <c:pt idx="0">
                  <c:v>0</c:v>
                </c:pt>
                <c:pt idx="1">
                  <c:v>500</c:v>
                </c:pt>
                <c:pt idx="2">
                  <c:v>1000</c:v>
                </c:pt>
                <c:pt idx="3">
                  <c:v>3000</c:v>
                </c:pt>
                <c:pt idx="4">
                  <c:v>4000</c:v>
                </c:pt>
                <c:pt idx="5">
                  <c:v>5000</c:v>
                </c:pt>
              </c:numCache>
            </c:numRef>
          </c:xVal>
          <c:yVal>
            <c:numRef>
              <c:f>'FUSION3_DH500 '!$R$33:$R$38</c:f>
              <c:numCache>
                <c:formatCode>0%</c:formatCode>
                <c:ptCount val="6"/>
                <c:pt idx="0">
                  <c:v>0</c:v>
                </c:pt>
                <c:pt idx="1">
                  <c:v>0.41013883203990892</c:v>
                </c:pt>
                <c:pt idx="2">
                  <c:v>0.53315568832560156</c:v>
                </c:pt>
                <c:pt idx="3">
                  <c:v>0.63745469785497477</c:v>
                </c:pt>
                <c:pt idx="4">
                  <c:v>0.64554752090284129</c:v>
                </c:pt>
                <c:pt idx="5">
                  <c:v>0.61786601435113375</c:v>
                </c:pt>
              </c:numCache>
            </c:numRef>
          </c:yVal>
          <c:smooth val="0"/>
          <c:extLst>
            <c:ext xmlns:c16="http://schemas.microsoft.com/office/drawing/2014/chart" uri="{C3380CC4-5D6E-409C-BE32-E72D297353CC}">
              <c16:uniqueId val="{00000002-AC2E-4237-BAF8-85623098C09A}"/>
            </c:ext>
          </c:extLst>
        </c:ser>
        <c:ser>
          <c:idx val="3"/>
          <c:order val="3"/>
          <c:tx>
            <c:strRef>
              <c:f>'FUSION3_DH500 '!$B$26</c:f>
              <c:strCache>
                <c:ptCount val="1"/>
                <c:pt idx="0">
                  <c:v>400</c:v>
                </c:pt>
              </c:strCache>
            </c:strRef>
          </c:tx>
          <c:spPr>
            <a:ln w="19050" cap="rnd">
              <a:solidFill>
                <a:schemeClr val="accent4"/>
              </a:solidFill>
              <a:round/>
            </a:ln>
            <a:effectLst/>
          </c:spPr>
          <c:marker>
            <c:symbol val="none"/>
          </c:marker>
          <c:xVal>
            <c:numRef>
              <c:f>'FUSION3_DH500 '!$A$26:$A$31</c:f>
              <c:numCache>
                <c:formatCode>General</c:formatCode>
                <c:ptCount val="6"/>
                <c:pt idx="0">
                  <c:v>0</c:v>
                </c:pt>
                <c:pt idx="1">
                  <c:v>500</c:v>
                </c:pt>
                <c:pt idx="2">
                  <c:v>1000</c:v>
                </c:pt>
                <c:pt idx="3">
                  <c:v>3000</c:v>
                </c:pt>
                <c:pt idx="4">
                  <c:v>4000</c:v>
                </c:pt>
                <c:pt idx="5">
                  <c:v>5000</c:v>
                </c:pt>
              </c:numCache>
            </c:numRef>
          </c:xVal>
          <c:yVal>
            <c:numRef>
              <c:f>'FUSION3_DH500 '!$R$26:$R$31</c:f>
              <c:numCache>
                <c:formatCode>0%</c:formatCode>
                <c:ptCount val="6"/>
                <c:pt idx="0">
                  <c:v>0</c:v>
                </c:pt>
                <c:pt idx="1">
                  <c:v>0.36875816993464056</c:v>
                </c:pt>
                <c:pt idx="2">
                  <c:v>0.51092592592592601</c:v>
                </c:pt>
                <c:pt idx="3">
                  <c:v>0.58666666666666678</c:v>
                </c:pt>
                <c:pt idx="4">
                  <c:v>0.56898550724637686</c:v>
                </c:pt>
                <c:pt idx="5">
                  <c:v>0.53116531165311653</c:v>
                </c:pt>
              </c:numCache>
            </c:numRef>
          </c:yVal>
          <c:smooth val="0"/>
          <c:extLst>
            <c:ext xmlns:c16="http://schemas.microsoft.com/office/drawing/2014/chart" uri="{C3380CC4-5D6E-409C-BE32-E72D297353CC}">
              <c16:uniqueId val="{00000003-AC2E-4237-BAF8-85623098C09A}"/>
            </c:ext>
          </c:extLst>
        </c:ser>
        <c:dLbls>
          <c:showLegendKey val="0"/>
          <c:showVal val="0"/>
          <c:showCatName val="0"/>
          <c:showSerName val="0"/>
          <c:showPercent val="0"/>
          <c:showBubbleSize val="0"/>
        </c:dLbls>
        <c:axId val="1526442784"/>
        <c:axId val="1526427424"/>
      </c:scatterChart>
      <c:valAx>
        <c:axId val="1526442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427424"/>
        <c:crosses val="autoZero"/>
        <c:crossBetween val="midCat"/>
      </c:valAx>
      <c:valAx>
        <c:axId val="1526427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44278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entury Gothic" panose="020B0502020202020204" pitchFamily="34" charset="0"/>
                <a:ea typeface="Calibri"/>
                <a:cs typeface="Calibri"/>
              </a:defRPr>
            </a:pPr>
            <a:r>
              <a:rPr lang="en-CA" sz="1800" b="1" i="0" u="none" strike="noStrike" baseline="0">
                <a:solidFill>
                  <a:srgbClr val="000000"/>
                </a:solidFill>
                <a:latin typeface="Century Gothic" panose="020B0502020202020204" pitchFamily="34" charset="0"/>
              </a:rPr>
              <a:t>Sirius Solar Pump Curves, Flow Rate vs Pressure</a:t>
            </a:r>
          </a:p>
        </c:rich>
      </c:tx>
      <c:overlay val="0"/>
    </c:title>
    <c:autoTitleDeleted val="0"/>
    <c:plotArea>
      <c:layout>
        <c:manualLayout>
          <c:layoutTarget val="inner"/>
          <c:xMode val="edge"/>
          <c:yMode val="edge"/>
          <c:x val="0.10251818522684665"/>
          <c:y val="6.8868055638279704E-2"/>
          <c:w val="0.85199285168186445"/>
          <c:h val="0.82154696572019403"/>
        </c:manualLayout>
      </c:layout>
      <c:scatterChart>
        <c:scatterStyle val="smoothMarker"/>
        <c:varyColors val="0"/>
        <c:ser>
          <c:idx val="6"/>
          <c:order val="0"/>
          <c:tx>
            <c:v>COMET2 100, DUAL HEAD, 24 VDC</c:v>
          </c:tx>
          <c:marker>
            <c:symbol val="none"/>
          </c:marker>
          <c:xVal>
            <c:numRef>
              <c:f>'[3]DH -COMET_100'!$A$46:$A$51</c:f>
              <c:numCache>
                <c:formatCode>General</c:formatCode>
                <c:ptCount val="6"/>
                <c:pt idx="0">
                  <c:v>0</c:v>
                </c:pt>
                <c:pt idx="1">
                  <c:v>100</c:v>
                </c:pt>
                <c:pt idx="2">
                  <c:v>250</c:v>
                </c:pt>
                <c:pt idx="3">
                  <c:v>500</c:v>
                </c:pt>
                <c:pt idx="4">
                  <c:v>750</c:v>
                </c:pt>
                <c:pt idx="5">
                  <c:v>1000</c:v>
                </c:pt>
              </c:numCache>
            </c:numRef>
          </c:xVal>
          <c:yVal>
            <c:numRef>
              <c:f>'[3]DH -COMET_100'!$I$46:$I$51</c:f>
              <c:numCache>
                <c:formatCode>General</c:formatCode>
                <c:ptCount val="6"/>
                <c:pt idx="0">
                  <c:v>2042.5531914893618</c:v>
                </c:pt>
                <c:pt idx="1">
                  <c:v>1875</c:v>
                </c:pt>
                <c:pt idx="2">
                  <c:v>1759.5307917888563</c:v>
                </c:pt>
                <c:pt idx="3">
                  <c:v>1668.1146828844485</c:v>
                </c:pt>
                <c:pt idx="4">
                  <c:v>1462.9686071319718</c:v>
                </c:pt>
                <c:pt idx="5">
                  <c:v>1315.9698423577793</c:v>
                </c:pt>
              </c:numCache>
            </c:numRef>
          </c:yVal>
          <c:smooth val="1"/>
          <c:extLst>
            <c:ext xmlns:c16="http://schemas.microsoft.com/office/drawing/2014/chart" uri="{C3380CC4-5D6E-409C-BE32-E72D297353CC}">
              <c16:uniqueId val="{00000000-A81A-4F2C-A496-114AB515E8D5}"/>
            </c:ext>
          </c:extLst>
        </c:ser>
        <c:ser>
          <c:idx val="7"/>
          <c:order val="1"/>
          <c:tx>
            <c:v>COMET2 300, SINGLE HEAD, 24 VDC</c:v>
          </c:tx>
          <c:marker>
            <c:symbol val="none"/>
          </c:marker>
          <c:xVal>
            <c:numRef>
              <c:f>[3]COMET2_SH300!$A$46:$A$51</c:f>
              <c:numCache>
                <c:formatCode>General</c:formatCode>
                <c:ptCount val="6"/>
                <c:pt idx="0">
                  <c:v>0</c:v>
                </c:pt>
                <c:pt idx="1">
                  <c:v>100</c:v>
                </c:pt>
                <c:pt idx="2">
                  <c:v>500</c:v>
                </c:pt>
                <c:pt idx="3">
                  <c:v>1000</c:v>
                </c:pt>
                <c:pt idx="4">
                  <c:v>2000</c:v>
                </c:pt>
                <c:pt idx="5">
                  <c:v>3000</c:v>
                </c:pt>
              </c:numCache>
            </c:numRef>
          </c:xVal>
          <c:yVal>
            <c:numRef>
              <c:f>[3]COMET2_SH300!$I$46:$I$51</c:f>
              <c:numCache>
                <c:formatCode>General</c:formatCode>
                <c:ptCount val="6"/>
                <c:pt idx="0">
                  <c:v>331.0344827586207</c:v>
                </c:pt>
                <c:pt idx="1">
                  <c:v>320</c:v>
                </c:pt>
                <c:pt idx="2">
                  <c:v>300</c:v>
                </c:pt>
                <c:pt idx="3">
                  <c:v>282.35294117647061</c:v>
                </c:pt>
                <c:pt idx="4">
                  <c:v>260.86956521739131</c:v>
                </c:pt>
                <c:pt idx="5">
                  <c:v>228.57142857142858</c:v>
                </c:pt>
              </c:numCache>
            </c:numRef>
          </c:yVal>
          <c:smooth val="1"/>
          <c:extLst>
            <c:ext xmlns:c16="http://schemas.microsoft.com/office/drawing/2014/chart" uri="{C3380CC4-5D6E-409C-BE32-E72D297353CC}">
              <c16:uniqueId val="{00000001-A81A-4F2C-A496-114AB515E8D5}"/>
            </c:ext>
          </c:extLst>
        </c:ser>
        <c:ser>
          <c:idx val="8"/>
          <c:order val="2"/>
          <c:tx>
            <c:v>COMET2 300, DUAL HEAD, 24 VDC</c:v>
          </c:tx>
          <c:marker>
            <c:symbol val="none"/>
          </c:marker>
          <c:xVal>
            <c:numRef>
              <c:f>[3]COMET2_DH300!$A$46:$A$51</c:f>
              <c:numCache>
                <c:formatCode>General</c:formatCode>
                <c:ptCount val="6"/>
                <c:pt idx="0">
                  <c:v>0</c:v>
                </c:pt>
                <c:pt idx="1">
                  <c:v>100</c:v>
                </c:pt>
                <c:pt idx="2">
                  <c:v>500</c:v>
                </c:pt>
                <c:pt idx="3">
                  <c:v>1000</c:v>
                </c:pt>
                <c:pt idx="4">
                  <c:v>2000</c:v>
                </c:pt>
                <c:pt idx="5">
                  <c:v>3000</c:v>
                </c:pt>
              </c:numCache>
            </c:numRef>
          </c:xVal>
          <c:yVal>
            <c:numRef>
              <c:f>[3]COMET2_DH300!$I$46:$I$51</c:f>
              <c:numCache>
                <c:formatCode>General</c:formatCode>
                <c:ptCount val="6"/>
                <c:pt idx="0">
                  <c:v>623.37662337662334</c:v>
                </c:pt>
                <c:pt idx="1">
                  <c:v>600</c:v>
                </c:pt>
                <c:pt idx="2">
                  <c:v>564.70588235294122</c:v>
                </c:pt>
                <c:pt idx="3">
                  <c:v>533.33333333333337</c:v>
                </c:pt>
                <c:pt idx="4">
                  <c:v>436.36363636363637</c:v>
                </c:pt>
                <c:pt idx="5">
                  <c:v>342.85714285714283</c:v>
                </c:pt>
              </c:numCache>
            </c:numRef>
          </c:yVal>
          <c:smooth val="1"/>
          <c:extLst>
            <c:ext xmlns:c16="http://schemas.microsoft.com/office/drawing/2014/chart" uri="{C3380CC4-5D6E-409C-BE32-E72D297353CC}">
              <c16:uniqueId val="{00000002-A81A-4F2C-A496-114AB515E8D5}"/>
            </c:ext>
          </c:extLst>
        </c:ser>
        <c:ser>
          <c:idx val="9"/>
          <c:order val="3"/>
          <c:tx>
            <c:v>COMET2 500, SINGLE HEAD, 24 VDC</c:v>
          </c:tx>
          <c:marker>
            <c:symbol val="none"/>
          </c:marker>
          <c:xVal>
            <c:numRef>
              <c:f>'[3]COMET2_HP-DH500'!$A$46:$A$51</c:f>
              <c:numCache>
                <c:formatCode>General</c:formatCode>
                <c:ptCount val="6"/>
                <c:pt idx="0">
                  <c:v>0</c:v>
                </c:pt>
                <c:pt idx="1">
                  <c:v>500</c:v>
                </c:pt>
                <c:pt idx="2">
                  <c:v>1000</c:v>
                </c:pt>
                <c:pt idx="3">
                  <c:v>3000</c:v>
                </c:pt>
                <c:pt idx="4">
                  <c:v>4000</c:v>
                </c:pt>
                <c:pt idx="5">
                  <c:v>5000</c:v>
                </c:pt>
              </c:numCache>
            </c:numRef>
          </c:xVal>
          <c:yVal>
            <c:numRef>
              <c:f>'[3]COMET2_HP-DH500'!$R$46:$R$51</c:f>
              <c:numCache>
                <c:formatCode>General</c:formatCode>
                <c:ptCount val="6"/>
                <c:pt idx="0">
                  <c:v>234</c:v>
                </c:pt>
                <c:pt idx="1">
                  <c:v>210</c:v>
                </c:pt>
                <c:pt idx="2">
                  <c:v>186</c:v>
                </c:pt>
                <c:pt idx="3">
                  <c:v>147</c:v>
                </c:pt>
                <c:pt idx="4">
                  <c:v>120</c:v>
                </c:pt>
                <c:pt idx="5">
                  <c:v>106</c:v>
                </c:pt>
              </c:numCache>
            </c:numRef>
          </c:yVal>
          <c:smooth val="1"/>
          <c:extLst>
            <c:ext xmlns:c16="http://schemas.microsoft.com/office/drawing/2014/chart" uri="{C3380CC4-5D6E-409C-BE32-E72D297353CC}">
              <c16:uniqueId val="{00000003-A81A-4F2C-A496-114AB515E8D5}"/>
            </c:ext>
          </c:extLst>
        </c:ser>
        <c:ser>
          <c:idx val="10"/>
          <c:order val="4"/>
          <c:tx>
            <c:v>COMET2 500, DUAL HEAD, 24VDC</c:v>
          </c:tx>
          <c:spPr>
            <a:ln>
              <a:solidFill>
                <a:srgbClr val="8CC0D2"/>
              </a:solidFill>
            </a:ln>
          </c:spPr>
          <c:marker>
            <c:symbol val="none"/>
          </c:marker>
          <c:xVal>
            <c:numRef>
              <c:f>'[3]COMET2_HP-DH500'!$A$46:$A$51</c:f>
              <c:numCache>
                <c:formatCode>General</c:formatCode>
                <c:ptCount val="6"/>
                <c:pt idx="0">
                  <c:v>0</c:v>
                </c:pt>
                <c:pt idx="1">
                  <c:v>500</c:v>
                </c:pt>
                <c:pt idx="2">
                  <c:v>1000</c:v>
                </c:pt>
                <c:pt idx="3">
                  <c:v>3000</c:v>
                </c:pt>
                <c:pt idx="4">
                  <c:v>4000</c:v>
                </c:pt>
                <c:pt idx="5">
                  <c:v>5000</c:v>
                </c:pt>
              </c:numCache>
            </c:numRef>
          </c:xVal>
          <c:yVal>
            <c:numRef>
              <c:f>'[3]COMET2_HP-DH500'!$I$46:$I$51</c:f>
              <c:numCache>
                <c:formatCode>General</c:formatCode>
                <c:ptCount val="6"/>
                <c:pt idx="0">
                  <c:v>468</c:v>
                </c:pt>
                <c:pt idx="1">
                  <c:v>420</c:v>
                </c:pt>
                <c:pt idx="2">
                  <c:v>372</c:v>
                </c:pt>
                <c:pt idx="3">
                  <c:v>294</c:v>
                </c:pt>
                <c:pt idx="4">
                  <c:v>240</c:v>
                </c:pt>
                <c:pt idx="5">
                  <c:v>212</c:v>
                </c:pt>
              </c:numCache>
            </c:numRef>
          </c:yVal>
          <c:smooth val="1"/>
          <c:extLst>
            <c:ext xmlns:c16="http://schemas.microsoft.com/office/drawing/2014/chart" uri="{C3380CC4-5D6E-409C-BE32-E72D297353CC}">
              <c16:uniqueId val="{00000004-A81A-4F2C-A496-114AB515E8D5}"/>
            </c:ext>
          </c:extLst>
        </c:ser>
        <c:dLbls>
          <c:showLegendKey val="0"/>
          <c:showVal val="0"/>
          <c:showCatName val="0"/>
          <c:showSerName val="0"/>
          <c:showPercent val="0"/>
          <c:showBubbleSize val="0"/>
        </c:dLbls>
        <c:axId val="461748416"/>
        <c:axId val="1"/>
        <c:extLst/>
      </c:scatterChart>
      <c:valAx>
        <c:axId val="461748416"/>
        <c:scaling>
          <c:orientation val="minMax"/>
          <c:max val="5000"/>
        </c:scaling>
        <c:delete val="0"/>
        <c:axPos val="b"/>
        <c:majorGridlines/>
        <c:title>
          <c:tx>
            <c:rich>
              <a:bodyPr/>
              <a:lstStyle/>
              <a:p>
                <a:pPr>
                  <a:defRPr sz="1000" b="1" i="0" u="none" strike="noStrike" baseline="0">
                    <a:solidFill>
                      <a:srgbClr val="000000"/>
                    </a:solidFill>
                    <a:latin typeface="Century Gothic" panose="020B0502020202020204" pitchFamily="34" charset="0"/>
                    <a:ea typeface="Calibri"/>
                    <a:cs typeface="Calibri"/>
                  </a:defRPr>
                </a:pPr>
                <a:r>
                  <a:rPr lang="en-CA" sz="1600">
                    <a:latin typeface="Century Gothic" panose="020B0502020202020204" pitchFamily="34" charset="0"/>
                  </a:rPr>
                  <a:t>Pressure [psi]</a:t>
                </a:r>
              </a:p>
            </c:rich>
          </c:tx>
          <c:overlay val="0"/>
        </c:title>
        <c:numFmt formatCode="General" sourceLinked="1"/>
        <c:majorTickMark val="out"/>
        <c:minorTickMark val="none"/>
        <c:tickLblPos val="nextTo"/>
        <c:txPr>
          <a:bodyPr rot="0" vert="horz"/>
          <a:lstStyle/>
          <a:p>
            <a:pPr>
              <a:defRPr sz="1400" b="0" i="0" u="none" strike="noStrike" baseline="0">
                <a:solidFill>
                  <a:srgbClr val="000000"/>
                </a:solidFill>
                <a:latin typeface="Century Gothic" panose="020B0502020202020204" pitchFamily="34" charset="0"/>
                <a:ea typeface="Calibri"/>
                <a:cs typeface="Calibri"/>
              </a:defRPr>
            </a:pPr>
            <a:endParaRPr lang="en-US"/>
          </a:p>
        </c:txPr>
        <c:crossAx val="1"/>
        <c:crosses val="autoZero"/>
        <c:crossBetween val="midCat"/>
      </c:valAx>
      <c:valAx>
        <c:axId val="1"/>
        <c:scaling>
          <c:orientation val="minMax"/>
          <c:max val="2500"/>
          <c:min val="0"/>
        </c:scaling>
        <c:delete val="0"/>
        <c:axPos val="l"/>
        <c:majorGridlines/>
        <c:title>
          <c:tx>
            <c:rich>
              <a:bodyPr/>
              <a:lstStyle/>
              <a:p>
                <a:pPr>
                  <a:defRPr sz="1000" b="1" i="0" u="none" strike="noStrike" baseline="0">
                    <a:solidFill>
                      <a:srgbClr val="000000"/>
                    </a:solidFill>
                    <a:latin typeface="Century Gothic" panose="020B0502020202020204" pitchFamily="34" charset="0"/>
                    <a:ea typeface="Calibri"/>
                    <a:cs typeface="Calibri"/>
                  </a:defRPr>
                </a:pPr>
                <a:r>
                  <a:rPr lang="en-CA" sz="1600">
                    <a:latin typeface="Century Gothic" panose="020B0502020202020204" pitchFamily="34" charset="0"/>
                  </a:rPr>
                  <a:t>Volume </a:t>
                </a:r>
                <a:r>
                  <a:rPr lang="en-CA" sz="1600" baseline="0">
                    <a:latin typeface="Century Gothic" panose="020B0502020202020204" pitchFamily="34" charset="0"/>
                  </a:rPr>
                  <a:t> [ </a:t>
                </a:r>
                <a:r>
                  <a:rPr lang="en-CA" sz="1600">
                    <a:latin typeface="Century Gothic" panose="020B0502020202020204" pitchFamily="34" charset="0"/>
                  </a:rPr>
                  <a:t>L/Day ]</a:t>
                </a:r>
              </a:p>
            </c:rich>
          </c:tx>
          <c:overlay val="0"/>
        </c:title>
        <c:numFmt formatCode="0" sourceLinked="0"/>
        <c:majorTickMark val="out"/>
        <c:minorTickMark val="none"/>
        <c:tickLblPos val="nextTo"/>
        <c:txPr>
          <a:bodyPr rot="0" vert="horz"/>
          <a:lstStyle/>
          <a:p>
            <a:pPr>
              <a:defRPr sz="1600" b="0" i="0" u="none" strike="noStrike" baseline="0">
                <a:solidFill>
                  <a:srgbClr val="000000"/>
                </a:solidFill>
                <a:latin typeface="Century Gothic" panose="020B0502020202020204" pitchFamily="34" charset="0"/>
                <a:ea typeface="Calibri"/>
                <a:cs typeface="Calibri"/>
              </a:defRPr>
            </a:pPr>
            <a:endParaRPr lang="en-US"/>
          </a:p>
        </c:txPr>
        <c:crossAx val="461748416"/>
        <c:crosses val="autoZero"/>
        <c:crossBetween val="midCat"/>
        <c:majorUnit val="250"/>
      </c:valAx>
    </c:plotArea>
    <c:legend>
      <c:legendPos val="r"/>
      <c:layout>
        <c:manualLayout>
          <c:xMode val="edge"/>
          <c:yMode val="edge"/>
          <c:x val="0.57594116120100369"/>
          <c:y val="0.19771586040398506"/>
          <c:w val="0.35100435522482765"/>
          <c:h val="0.34608026492906241"/>
        </c:manualLayout>
      </c:layout>
      <c:overlay val="0"/>
      <c:spPr>
        <a:solidFill>
          <a:schemeClr val="bg1"/>
        </a:solidFill>
        <a:ln w="28575">
          <a:solidFill>
            <a:schemeClr val="tx1"/>
          </a:solidFill>
        </a:ln>
      </c:spPr>
      <c:txPr>
        <a:bodyPr/>
        <a:lstStyle/>
        <a:p>
          <a:pPr>
            <a:defRPr sz="1200" b="0" i="0" u="none" strike="noStrike" baseline="0">
              <a:solidFill>
                <a:srgbClr val="000000"/>
              </a:solidFill>
              <a:latin typeface="Century Gothic" panose="020B0502020202020204" pitchFamily="34" charset="0"/>
              <a:ea typeface="DengXian Light" panose="020B0503020204020204" pitchFamily="2" charset="-122"/>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entury Gothic" panose="020B0502020202020204" pitchFamily="34" charset="0"/>
                <a:ea typeface="Calibri"/>
                <a:cs typeface="Calibri"/>
              </a:defRPr>
            </a:pPr>
            <a:r>
              <a:rPr lang="en-CA" sz="1800" b="1" i="0" u="none" strike="noStrike" baseline="0">
                <a:solidFill>
                  <a:srgbClr val="000000"/>
                </a:solidFill>
                <a:latin typeface="Century Gothic" panose="020B0502020202020204" pitchFamily="34" charset="0"/>
              </a:rPr>
              <a:t>Sirius Solar Pump Curves, Flow Rate vs Pressure</a:t>
            </a:r>
          </a:p>
        </c:rich>
      </c:tx>
      <c:overlay val="0"/>
    </c:title>
    <c:autoTitleDeleted val="0"/>
    <c:plotArea>
      <c:layout>
        <c:manualLayout>
          <c:layoutTarget val="inner"/>
          <c:xMode val="edge"/>
          <c:yMode val="edge"/>
          <c:x val="0.10251818522684665"/>
          <c:y val="6.8868055638279704E-2"/>
          <c:w val="0.85199285168186445"/>
          <c:h val="0.82154696572019403"/>
        </c:manualLayout>
      </c:layout>
      <c:scatterChart>
        <c:scatterStyle val="smoothMarker"/>
        <c:varyColors val="0"/>
        <c:ser>
          <c:idx val="6"/>
          <c:order val="0"/>
          <c:tx>
            <c:v>FUSION2 100, DUAL HEAD, 24VDC</c:v>
          </c:tx>
          <c:marker>
            <c:symbol val="none"/>
          </c:marker>
          <c:xVal>
            <c:numRef>
              <c:f>'[3]DH -F2_100'!$A$46:$A$51</c:f>
              <c:numCache>
                <c:formatCode>General</c:formatCode>
                <c:ptCount val="6"/>
                <c:pt idx="0">
                  <c:v>0</c:v>
                </c:pt>
                <c:pt idx="1">
                  <c:v>100</c:v>
                </c:pt>
                <c:pt idx="2">
                  <c:v>250</c:v>
                </c:pt>
                <c:pt idx="3">
                  <c:v>500</c:v>
                </c:pt>
                <c:pt idx="4">
                  <c:v>750</c:v>
                </c:pt>
                <c:pt idx="5">
                  <c:v>1000</c:v>
                </c:pt>
              </c:numCache>
            </c:numRef>
          </c:xVal>
          <c:yVal>
            <c:numRef>
              <c:f>'[3]DH -F2_100'!$I$46:$I$51</c:f>
              <c:numCache>
                <c:formatCode>General</c:formatCode>
                <c:ptCount val="6"/>
                <c:pt idx="0">
                  <c:v>1218.75</c:v>
                </c:pt>
                <c:pt idx="1">
                  <c:v>1218.75</c:v>
                </c:pt>
                <c:pt idx="2">
                  <c:v>1200</c:v>
                </c:pt>
                <c:pt idx="3">
                  <c:v>1218.75</c:v>
                </c:pt>
                <c:pt idx="4">
                  <c:v>1180.327868852459</c:v>
                </c:pt>
                <c:pt idx="5">
                  <c:v>1161.2903225806451</c:v>
                </c:pt>
              </c:numCache>
            </c:numRef>
          </c:yVal>
          <c:smooth val="1"/>
          <c:extLst>
            <c:ext xmlns:c16="http://schemas.microsoft.com/office/drawing/2014/chart" uri="{C3380CC4-5D6E-409C-BE32-E72D297353CC}">
              <c16:uniqueId val="{00000000-D18F-47AB-A902-55B4D8B61697}"/>
            </c:ext>
          </c:extLst>
        </c:ser>
        <c:ser>
          <c:idx val="7"/>
          <c:order val="1"/>
          <c:tx>
            <c:v>FUSION2 300, SINGLE HEAD, 24VDC</c:v>
          </c:tx>
          <c:marker>
            <c:symbol val="none"/>
          </c:marker>
          <c:xVal>
            <c:numRef>
              <c:f>[3]F2_300_SH!$A$46:$A$51</c:f>
              <c:numCache>
                <c:formatCode>General</c:formatCode>
                <c:ptCount val="6"/>
                <c:pt idx="0">
                  <c:v>0</c:v>
                </c:pt>
                <c:pt idx="1">
                  <c:v>100</c:v>
                </c:pt>
                <c:pt idx="2">
                  <c:v>500</c:v>
                </c:pt>
                <c:pt idx="3">
                  <c:v>1000</c:v>
                </c:pt>
                <c:pt idx="4">
                  <c:v>2000</c:v>
                </c:pt>
                <c:pt idx="5">
                  <c:v>3000</c:v>
                </c:pt>
              </c:numCache>
            </c:numRef>
          </c:xVal>
          <c:yVal>
            <c:numRef>
              <c:f>[3]F2_300_SH!$I$46:$I$51</c:f>
              <c:numCache>
                <c:formatCode>General</c:formatCode>
                <c:ptCount val="6"/>
                <c:pt idx="0">
                  <c:v>205</c:v>
                </c:pt>
                <c:pt idx="1">
                  <c:v>200</c:v>
                </c:pt>
                <c:pt idx="2">
                  <c:v>200</c:v>
                </c:pt>
                <c:pt idx="3">
                  <c:v>195</c:v>
                </c:pt>
                <c:pt idx="4">
                  <c:v>185</c:v>
                </c:pt>
                <c:pt idx="5">
                  <c:v>180</c:v>
                </c:pt>
              </c:numCache>
            </c:numRef>
          </c:yVal>
          <c:smooth val="1"/>
          <c:extLst>
            <c:ext xmlns:c16="http://schemas.microsoft.com/office/drawing/2014/chart" uri="{C3380CC4-5D6E-409C-BE32-E72D297353CC}">
              <c16:uniqueId val="{00000001-D18F-47AB-A902-55B4D8B61697}"/>
            </c:ext>
          </c:extLst>
        </c:ser>
        <c:ser>
          <c:idx val="8"/>
          <c:order val="2"/>
          <c:tx>
            <c:v>FUSION2 300, DUAL HEAD, 24 VDC</c:v>
          </c:tx>
          <c:marker>
            <c:symbol val="none"/>
          </c:marker>
          <c:xVal>
            <c:numRef>
              <c:f>[3]F2_300_DH!$A$46:$A$51</c:f>
              <c:numCache>
                <c:formatCode>General</c:formatCode>
                <c:ptCount val="6"/>
                <c:pt idx="0">
                  <c:v>0</c:v>
                </c:pt>
                <c:pt idx="1">
                  <c:v>100</c:v>
                </c:pt>
                <c:pt idx="2">
                  <c:v>500</c:v>
                </c:pt>
                <c:pt idx="3">
                  <c:v>1000</c:v>
                </c:pt>
                <c:pt idx="4">
                  <c:v>2000</c:v>
                </c:pt>
                <c:pt idx="5">
                  <c:v>3000</c:v>
                </c:pt>
              </c:numCache>
            </c:numRef>
          </c:xVal>
          <c:yVal>
            <c:numRef>
              <c:f>[3]F2_300_DH!$I$46:$I$51</c:f>
              <c:numCache>
                <c:formatCode>General</c:formatCode>
                <c:ptCount val="6"/>
                <c:pt idx="0">
                  <c:v>410</c:v>
                </c:pt>
                <c:pt idx="1">
                  <c:v>405</c:v>
                </c:pt>
                <c:pt idx="2">
                  <c:v>395</c:v>
                </c:pt>
                <c:pt idx="3">
                  <c:v>390</c:v>
                </c:pt>
                <c:pt idx="4">
                  <c:v>360</c:v>
                </c:pt>
                <c:pt idx="5">
                  <c:v>345</c:v>
                </c:pt>
              </c:numCache>
            </c:numRef>
          </c:yVal>
          <c:smooth val="1"/>
          <c:extLst>
            <c:ext xmlns:c16="http://schemas.microsoft.com/office/drawing/2014/chart" uri="{C3380CC4-5D6E-409C-BE32-E72D297353CC}">
              <c16:uniqueId val="{00000002-D18F-47AB-A902-55B4D8B61697}"/>
            </c:ext>
          </c:extLst>
        </c:ser>
        <c:ser>
          <c:idx val="9"/>
          <c:order val="3"/>
          <c:tx>
            <c:v>FUSION2 500, SINGLE HEAD, 24VDC</c:v>
          </c:tx>
          <c:marker>
            <c:symbol val="none"/>
          </c:marker>
          <c:xVal>
            <c:numRef>
              <c:f>[3]F2_500_SH!$A$46:$A$51</c:f>
              <c:numCache>
                <c:formatCode>General</c:formatCode>
                <c:ptCount val="6"/>
                <c:pt idx="0">
                  <c:v>0</c:v>
                </c:pt>
                <c:pt idx="1">
                  <c:v>500</c:v>
                </c:pt>
                <c:pt idx="2">
                  <c:v>1000</c:v>
                </c:pt>
                <c:pt idx="3">
                  <c:v>3000</c:v>
                </c:pt>
                <c:pt idx="4">
                  <c:v>4000</c:v>
                </c:pt>
                <c:pt idx="5">
                  <c:v>5000</c:v>
                </c:pt>
              </c:numCache>
            </c:numRef>
          </c:xVal>
          <c:yVal>
            <c:numRef>
              <c:f>[3]F2_500_SH!$I$46:$I$51</c:f>
              <c:numCache>
                <c:formatCode>General</c:formatCode>
                <c:ptCount val="6"/>
                <c:pt idx="0">
                  <c:v>135</c:v>
                </c:pt>
                <c:pt idx="1">
                  <c:v>130</c:v>
                </c:pt>
                <c:pt idx="2">
                  <c:v>130</c:v>
                </c:pt>
                <c:pt idx="3">
                  <c:v>125</c:v>
                </c:pt>
                <c:pt idx="4">
                  <c:v>125</c:v>
                </c:pt>
                <c:pt idx="5">
                  <c:v>110</c:v>
                </c:pt>
              </c:numCache>
            </c:numRef>
          </c:yVal>
          <c:smooth val="1"/>
          <c:extLst>
            <c:ext xmlns:c16="http://schemas.microsoft.com/office/drawing/2014/chart" uri="{C3380CC4-5D6E-409C-BE32-E72D297353CC}">
              <c16:uniqueId val="{00000003-D18F-47AB-A902-55B4D8B61697}"/>
            </c:ext>
          </c:extLst>
        </c:ser>
        <c:ser>
          <c:idx val="10"/>
          <c:order val="4"/>
          <c:tx>
            <c:v>FUSION2 500, DUAL HEAD, 24VDC</c:v>
          </c:tx>
          <c:marker>
            <c:symbol val="none"/>
          </c:marker>
          <c:xVal>
            <c:numRef>
              <c:f>[3]F2_500_DH!$A$46:$A$51</c:f>
              <c:numCache>
                <c:formatCode>General</c:formatCode>
                <c:ptCount val="6"/>
                <c:pt idx="0">
                  <c:v>0</c:v>
                </c:pt>
                <c:pt idx="1">
                  <c:v>500</c:v>
                </c:pt>
                <c:pt idx="2">
                  <c:v>1000</c:v>
                </c:pt>
                <c:pt idx="3">
                  <c:v>3000</c:v>
                </c:pt>
                <c:pt idx="4">
                  <c:v>4000</c:v>
                </c:pt>
                <c:pt idx="5">
                  <c:v>5000</c:v>
                </c:pt>
              </c:numCache>
            </c:numRef>
          </c:xVal>
          <c:yVal>
            <c:numRef>
              <c:f>[3]F2_500_DH!$I$46:$I$51</c:f>
              <c:numCache>
                <c:formatCode>General</c:formatCode>
                <c:ptCount val="6"/>
                <c:pt idx="0">
                  <c:v>280</c:v>
                </c:pt>
                <c:pt idx="1">
                  <c:v>270</c:v>
                </c:pt>
                <c:pt idx="2">
                  <c:v>255</c:v>
                </c:pt>
                <c:pt idx="3">
                  <c:v>230</c:v>
                </c:pt>
                <c:pt idx="4">
                  <c:v>225</c:v>
                </c:pt>
                <c:pt idx="5">
                  <c:v>215</c:v>
                </c:pt>
              </c:numCache>
            </c:numRef>
          </c:yVal>
          <c:smooth val="1"/>
          <c:extLst>
            <c:ext xmlns:c16="http://schemas.microsoft.com/office/drawing/2014/chart" uri="{C3380CC4-5D6E-409C-BE32-E72D297353CC}">
              <c16:uniqueId val="{00000004-D18F-47AB-A902-55B4D8B61697}"/>
            </c:ext>
          </c:extLst>
        </c:ser>
        <c:dLbls>
          <c:showLegendKey val="0"/>
          <c:showVal val="0"/>
          <c:showCatName val="0"/>
          <c:showSerName val="0"/>
          <c:showPercent val="0"/>
          <c:showBubbleSize val="0"/>
        </c:dLbls>
        <c:axId val="461748416"/>
        <c:axId val="1"/>
        <c:extLst/>
      </c:scatterChart>
      <c:valAx>
        <c:axId val="461748416"/>
        <c:scaling>
          <c:orientation val="minMax"/>
          <c:max val="5000"/>
        </c:scaling>
        <c:delete val="0"/>
        <c:axPos val="b"/>
        <c:majorGridlines/>
        <c:title>
          <c:tx>
            <c:rich>
              <a:bodyPr/>
              <a:lstStyle/>
              <a:p>
                <a:pPr>
                  <a:defRPr sz="1000" b="1" i="0" u="none" strike="noStrike" baseline="0">
                    <a:solidFill>
                      <a:srgbClr val="000000"/>
                    </a:solidFill>
                    <a:latin typeface="Century Gothic" panose="020B0502020202020204" pitchFamily="34" charset="0"/>
                    <a:ea typeface="Calibri"/>
                    <a:cs typeface="Calibri"/>
                  </a:defRPr>
                </a:pPr>
                <a:r>
                  <a:rPr lang="en-CA" sz="1600">
                    <a:latin typeface="Century Gothic" panose="020B0502020202020204" pitchFamily="34" charset="0"/>
                  </a:rPr>
                  <a:t>Pressure [psi]</a:t>
                </a:r>
              </a:p>
            </c:rich>
          </c:tx>
          <c:overlay val="0"/>
        </c:title>
        <c:numFmt formatCode="General" sourceLinked="1"/>
        <c:majorTickMark val="out"/>
        <c:minorTickMark val="none"/>
        <c:tickLblPos val="nextTo"/>
        <c:txPr>
          <a:bodyPr rot="0" vert="horz"/>
          <a:lstStyle/>
          <a:p>
            <a:pPr>
              <a:defRPr sz="1400" b="0" i="0" u="none" strike="noStrike" baseline="0">
                <a:solidFill>
                  <a:srgbClr val="000000"/>
                </a:solidFill>
                <a:latin typeface="Century Gothic" panose="020B0502020202020204" pitchFamily="34" charset="0"/>
                <a:ea typeface="Calibri"/>
                <a:cs typeface="Calibri"/>
              </a:defRPr>
            </a:pPr>
            <a:endParaRPr lang="en-US"/>
          </a:p>
        </c:txPr>
        <c:crossAx val="1"/>
        <c:crosses val="autoZero"/>
        <c:crossBetween val="midCat"/>
      </c:valAx>
      <c:valAx>
        <c:axId val="1"/>
        <c:scaling>
          <c:orientation val="minMax"/>
          <c:max val="2500"/>
          <c:min val="0"/>
        </c:scaling>
        <c:delete val="0"/>
        <c:axPos val="l"/>
        <c:majorGridlines/>
        <c:title>
          <c:tx>
            <c:rich>
              <a:bodyPr/>
              <a:lstStyle/>
              <a:p>
                <a:pPr>
                  <a:defRPr sz="1000" b="1" i="0" u="none" strike="noStrike" baseline="0">
                    <a:solidFill>
                      <a:srgbClr val="000000"/>
                    </a:solidFill>
                    <a:latin typeface="Century Gothic" panose="020B0502020202020204" pitchFamily="34" charset="0"/>
                    <a:ea typeface="Calibri"/>
                    <a:cs typeface="Calibri"/>
                  </a:defRPr>
                </a:pPr>
                <a:r>
                  <a:rPr lang="en-CA" sz="1600">
                    <a:latin typeface="Century Gothic" panose="020B0502020202020204" pitchFamily="34" charset="0"/>
                  </a:rPr>
                  <a:t>Volume </a:t>
                </a:r>
                <a:r>
                  <a:rPr lang="en-CA" sz="1600" baseline="0">
                    <a:latin typeface="Century Gothic" panose="020B0502020202020204" pitchFamily="34" charset="0"/>
                  </a:rPr>
                  <a:t> [ </a:t>
                </a:r>
                <a:r>
                  <a:rPr lang="en-CA" sz="1600">
                    <a:latin typeface="Century Gothic" panose="020B0502020202020204" pitchFamily="34" charset="0"/>
                  </a:rPr>
                  <a:t>L/Day ]</a:t>
                </a:r>
              </a:p>
            </c:rich>
          </c:tx>
          <c:overlay val="0"/>
        </c:title>
        <c:numFmt formatCode="0" sourceLinked="0"/>
        <c:majorTickMark val="out"/>
        <c:minorTickMark val="none"/>
        <c:tickLblPos val="nextTo"/>
        <c:txPr>
          <a:bodyPr rot="0" vert="horz"/>
          <a:lstStyle/>
          <a:p>
            <a:pPr>
              <a:defRPr sz="1600" b="0" i="0" u="none" strike="noStrike" baseline="0">
                <a:solidFill>
                  <a:srgbClr val="000000"/>
                </a:solidFill>
                <a:latin typeface="Century Gothic" panose="020B0502020202020204" pitchFamily="34" charset="0"/>
                <a:ea typeface="Calibri"/>
                <a:cs typeface="Calibri"/>
              </a:defRPr>
            </a:pPr>
            <a:endParaRPr lang="en-US"/>
          </a:p>
        </c:txPr>
        <c:crossAx val="461748416"/>
        <c:crosses val="autoZero"/>
        <c:crossBetween val="midCat"/>
        <c:majorUnit val="250"/>
      </c:valAx>
    </c:plotArea>
    <c:legend>
      <c:legendPos val="r"/>
      <c:layout>
        <c:manualLayout>
          <c:xMode val="edge"/>
          <c:yMode val="edge"/>
          <c:x val="0.57594116120100369"/>
          <c:y val="0.19771586040398506"/>
          <c:w val="0.35100435522482765"/>
          <c:h val="0.34608026492906241"/>
        </c:manualLayout>
      </c:layout>
      <c:overlay val="0"/>
      <c:spPr>
        <a:solidFill>
          <a:schemeClr val="bg1"/>
        </a:solidFill>
        <a:ln w="28575">
          <a:solidFill>
            <a:schemeClr val="tx1"/>
          </a:solidFill>
        </a:ln>
      </c:spPr>
      <c:txPr>
        <a:bodyPr/>
        <a:lstStyle/>
        <a:p>
          <a:pPr>
            <a:defRPr sz="1200" b="0" i="0" u="none" strike="noStrike" baseline="0">
              <a:solidFill>
                <a:srgbClr val="000000"/>
              </a:solidFill>
              <a:latin typeface="Century Gothic" panose="020B0502020202020204" pitchFamily="34" charset="0"/>
              <a:ea typeface="DengXian Light" panose="020B0503020204020204" pitchFamily="2" charset="-122"/>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000" b="0" i="0" u="none" strike="noStrike" baseline="0">
                <a:solidFill>
                  <a:srgbClr val="000000"/>
                </a:solidFill>
                <a:latin typeface="Century Gothic" panose="020B0502020202020204" pitchFamily="34" charset="0"/>
                <a:ea typeface="Calibri"/>
                <a:cs typeface="Calibri"/>
              </a:defRPr>
            </a:pPr>
            <a:r>
              <a:rPr lang="en-CA" sz="1800" b="1" i="0" u="none" strike="noStrike" baseline="0">
                <a:solidFill>
                  <a:srgbClr val="000000"/>
                </a:solidFill>
                <a:latin typeface="Century Gothic" panose="020B0502020202020204" pitchFamily="34" charset="0"/>
              </a:rPr>
              <a:t>Sirius Solar Pump Curves, Flow Rate vs Pressure</a:t>
            </a:r>
          </a:p>
        </c:rich>
      </c:tx>
      <c:overlay val="0"/>
    </c:title>
    <c:autoTitleDeleted val="0"/>
    <c:plotArea>
      <c:layout>
        <c:manualLayout>
          <c:layoutTarget val="inner"/>
          <c:xMode val="edge"/>
          <c:yMode val="edge"/>
          <c:x val="0.10251818522684665"/>
          <c:y val="6.8868055638279704E-2"/>
          <c:w val="0.85199285168186445"/>
          <c:h val="0.82154696572019403"/>
        </c:manualLayout>
      </c:layout>
      <c:scatterChart>
        <c:scatterStyle val="smoothMarker"/>
        <c:varyColors val="0"/>
        <c:ser>
          <c:idx val="6"/>
          <c:order val="0"/>
          <c:tx>
            <c:strRef>
              <c:f>Sheet1!$A$1</c:f>
              <c:strCache>
                <c:ptCount val="1"/>
                <c:pt idx="0">
                  <c:v>FUSION3 100, DUAL HEAD, 24 VDC</c:v>
                </c:pt>
              </c:strCache>
            </c:strRef>
          </c:tx>
          <c:marker>
            <c:symbol val="none"/>
          </c:marker>
          <c:xVal>
            <c:numRef>
              <c:f>Sheet1!$A$3:$A$8</c:f>
              <c:numCache>
                <c:formatCode>General</c:formatCode>
                <c:ptCount val="6"/>
                <c:pt idx="0">
                  <c:v>0</c:v>
                </c:pt>
                <c:pt idx="1">
                  <c:v>100</c:v>
                </c:pt>
                <c:pt idx="2">
                  <c:v>250</c:v>
                </c:pt>
                <c:pt idx="3">
                  <c:v>500</c:v>
                </c:pt>
                <c:pt idx="4">
                  <c:v>750</c:v>
                </c:pt>
                <c:pt idx="5">
                  <c:v>1000</c:v>
                </c:pt>
              </c:numCache>
            </c:numRef>
          </c:xVal>
          <c:yVal>
            <c:numRef>
              <c:f>Sheet1!$B$3:$B$8</c:f>
              <c:numCache>
                <c:formatCode>General</c:formatCode>
                <c:ptCount val="6"/>
                <c:pt idx="0">
                  <c:v>2166.67</c:v>
                </c:pt>
                <c:pt idx="1">
                  <c:v>1921.67</c:v>
                </c:pt>
                <c:pt idx="2">
                  <c:v>1865</c:v>
                </c:pt>
                <c:pt idx="3">
                  <c:v>1823.33</c:v>
                </c:pt>
                <c:pt idx="4">
                  <c:v>1761.67</c:v>
                </c:pt>
                <c:pt idx="5">
                  <c:v>1730</c:v>
                </c:pt>
              </c:numCache>
            </c:numRef>
          </c:yVal>
          <c:smooth val="1"/>
          <c:extLst>
            <c:ext xmlns:c16="http://schemas.microsoft.com/office/drawing/2014/chart" uri="{C3380CC4-5D6E-409C-BE32-E72D297353CC}">
              <c16:uniqueId val="{00000000-6CB8-46B0-ABDB-97D0221A8CAA}"/>
            </c:ext>
          </c:extLst>
        </c:ser>
        <c:ser>
          <c:idx val="7"/>
          <c:order val="1"/>
          <c:tx>
            <c:strRef>
              <c:f>Sheet1!$A$11</c:f>
              <c:strCache>
                <c:ptCount val="1"/>
                <c:pt idx="0">
                  <c:v>FUSION3 300, SINGLE HEAD, 24 VDC</c:v>
                </c:pt>
              </c:strCache>
            </c:strRef>
          </c:tx>
          <c:marker>
            <c:symbol val="none"/>
          </c:marker>
          <c:xVal>
            <c:numRef>
              <c:f>Sheet1!$A$13:$A$18</c:f>
              <c:numCache>
                <c:formatCode>General</c:formatCode>
                <c:ptCount val="6"/>
                <c:pt idx="0">
                  <c:v>0</c:v>
                </c:pt>
                <c:pt idx="1">
                  <c:v>100</c:v>
                </c:pt>
                <c:pt idx="2">
                  <c:v>500</c:v>
                </c:pt>
                <c:pt idx="3">
                  <c:v>1000</c:v>
                </c:pt>
                <c:pt idx="4">
                  <c:v>2000</c:v>
                </c:pt>
                <c:pt idx="5">
                  <c:v>3000</c:v>
                </c:pt>
              </c:numCache>
            </c:numRef>
          </c:xVal>
          <c:yVal>
            <c:numRef>
              <c:f>Sheet1!$B$13:$B$18</c:f>
              <c:numCache>
                <c:formatCode>General</c:formatCode>
                <c:ptCount val="6"/>
                <c:pt idx="0">
                  <c:v>368.55</c:v>
                </c:pt>
                <c:pt idx="1">
                  <c:v>359.46</c:v>
                </c:pt>
                <c:pt idx="2">
                  <c:v>349.01</c:v>
                </c:pt>
                <c:pt idx="3">
                  <c:v>336.21</c:v>
                </c:pt>
                <c:pt idx="4">
                  <c:v>322.39999999999998</c:v>
                </c:pt>
                <c:pt idx="5">
                  <c:v>308.25</c:v>
                </c:pt>
              </c:numCache>
            </c:numRef>
          </c:yVal>
          <c:smooth val="1"/>
          <c:extLst>
            <c:ext xmlns:c16="http://schemas.microsoft.com/office/drawing/2014/chart" uri="{C3380CC4-5D6E-409C-BE32-E72D297353CC}">
              <c16:uniqueId val="{00000002-6CB8-46B0-ABDB-97D0221A8CAA}"/>
            </c:ext>
          </c:extLst>
        </c:ser>
        <c:ser>
          <c:idx val="8"/>
          <c:order val="2"/>
          <c:tx>
            <c:strRef>
              <c:f>Sheet1!$A$21</c:f>
              <c:strCache>
                <c:ptCount val="1"/>
                <c:pt idx="0">
                  <c:v>FUSION3 300, DUAL HEAD, 24 VDC</c:v>
                </c:pt>
              </c:strCache>
            </c:strRef>
          </c:tx>
          <c:marker>
            <c:symbol val="none"/>
          </c:marker>
          <c:xVal>
            <c:numRef>
              <c:f>Sheet1!$A$23:$A$28</c:f>
              <c:numCache>
                <c:formatCode>General</c:formatCode>
                <c:ptCount val="6"/>
                <c:pt idx="0">
                  <c:v>0</c:v>
                </c:pt>
                <c:pt idx="1">
                  <c:v>100</c:v>
                </c:pt>
                <c:pt idx="2">
                  <c:v>500</c:v>
                </c:pt>
                <c:pt idx="3">
                  <c:v>1000</c:v>
                </c:pt>
                <c:pt idx="4">
                  <c:v>2000</c:v>
                </c:pt>
                <c:pt idx="5">
                  <c:v>3000</c:v>
                </c:pt>
              </c:numCache>
            </c:numRef>
          </c:xVal>
          <c:yVal>
            <c:numRef>
              <c:f>Sheet1!$B$23:$B$28</c:f>
              <c:numCache>
                <c:formatCode>General</c:formatCode>
                <c:ptCount val="6"/>
                <c:pt idx="0">
                  <c:v>739.12</c:v>
                </c:pt>
                <c:pt idx="1">
                  <c:v>711.5</c:v>
                </c:pt>
                <c:pt idx="2">
                  <c:v>693.64</c:v>
                </c:pt>
                <c:pt idx="3">
                  <c:v>672.76</c:v>
                </c:pt>
                <c:pt idx="4">
                  <c:v>626.94000000000005</c:v>
                </c:pt>
                <c:pt idx="5">
                  <c:v>584.49</c:v>
                </c:pt>
              </c:numCache>
            </c:numRef>
          </c:yVal>
          <c:smooth val="1"/>
          <c:extLst>
            <c:ext xmlns:c16="http://schemas.microsoft.com/office/drawing/2014/chart" uri="{C3380CC4-5D6E-409C-BE32-E72D297353CC}">
              <c16:uniqueId val="{00000000-42EB-4EB9-A7E1-AD33D76266ED}"/>
            </c:ext>
          </c:extLst>
        </c:ser>
        <c:ser>
          <c:idx val="9"/>
          <c:order val="3"/>
          <c:tx>
            <c:strRef>
              <c:f>Sheet1!$A$31</c:f>
              <c:strCache>
                <c:ptCount val="1"/>
                <c:pt idx="0">
                  <c:v>FUSION3 500, SINGLE HEAD, 24 VDC</c:v>
                </c:pt>
              </c:strCache>
            </c:strRef>
          </c:tx>
          <c:marker>
            <c:symbol val="none"/>
          </c:marker>
          <c:xVal>
            <c:numRef>
              <c:f>Sheet1!$A$33:$A$38</c:f>
              <c:numCache>
                <c:formatCode>General</c:formatCode>
                <c:ptCount val="6"/>
                <c:pt idx="0">
                  <c:v>0</c:v>
                </c:pt>
                <c:pt idx="1">
                  <c:v>500</c:v>
                </c:pt>
                <c:pt idx="2">
                  <c:v>1000</c:v>
                </c:pt>
                <c:pt idx="3">
                  <c:v>3000</c:v>
                </c:pt>
                <c:pt idx="4">
                  <c:v>4000</c:v>
                </c:pt>
                <c:pt idx="5">
                  <c:v>4350</c:v>
                </c:pt>
              </c:numCache>
            </c:numRef>
          </c:xVal>
          <c:yVal>
            <c:numRef>
              <c:f>Sheet1!$B$33:$B$38</c:f>
              <c:numCache>
                <c:formatCode>General</c:formatCode>
                <c:ptCount val="6"/>
                <c:pt idx="0">
                  <c:v>257.72000000000003</c:v>
                </c:pt>
                <c:pt idx="1">
                  <c:v>242.56</c:v>
                </c:pt>
                <c:pt idx="2">
                  <c:v>237.5</c:v>
                </c:pt>
                <c:pt idx="3">
                  <c:v>212.24</c:v>
                </c:pt>
                <c:pt idx="4">
                  <c:v>202.13</c:v>
                </c:pt>
                <c:pt idx="5">
                  <c:v>200.09</c:v>
                </c:pt>
              </c:numCache>
            </c:numRef>
          </c:yVal>
          <c:smooth val="1"/>
          <c:extLst>
            <c:ext xmlns:c16="http://schemas.microsoft.com/office/drawing/2014/chart" uri="{C3380CC4-5D6E-409C-BE32-E72D297353CC}">
              <c16:uniqueId val="{00000000-1A62-440E-B2F0-3BE29863B318}"/>
            </c:ext>
          </c:extLst>
        </c:ser>
        <c:ser>
          <c:idx val="10"/>
          <c:order val="4"/>
          <c:tx>
            <c:strRef>
              <c:f>Sheet1!$A$42</c:f>
              <c:strCache>
                <c:ptCount val="1"/>
                <c:pt idx="0">
                  <c:v>FUSION3 500, DUAL HEAD, 24 VDC</c:v>
                </c:pt>
              </c:strCache>
            </c:strRef>
          </c:tx>
          <c:marker>
            <c:symbol val="none"/>
          </c:marker>
          <c:xVal>
            <c:numRef>
              <c:f>Sheet1!$A$44:$A$49</c:f>
              <c:numCache>
                <c:formatCode>General</c:formatCode>
                <c:ptCount val="6"/>
                <c:pt idx="0">
                  <c:v>0</c:v>
                </c:pt>
                <c:pt idx="1">
                  <c:v>500</c:v>
                </c:pt>
                <c:pt idx="2">
                  <c:v>1000</c:v>
                </c:pt>
                <c:pt idx="3">
                  <c:v>3000</c:v>
                </c:pt>
                <c:pt idx="4">
                  <c:v>4000</c:v>
                </c:pt>
                <c:pt idx="5">
                  <c:v>4350</c:v>
                </c:pt>
              </c:numCache>
            </c:numRef>
          </c:xVal>
          <c:yVal>
            <c:numRef>
              <c:f>Sheet1!$B$44:$B$49</c:f>
              <c:numCache>
                <c:formatCode>General</c:formatCode>
                <c:ptCount val="6"/>
                <c:pt idx="0">
                  <c:v>525.54</c:v>
                </c:pt>
                <c:pt idx="1">
                  <c:v>495.22</c:v>
                </c:pt>
                <c:pt idx="2">
                  <c:v>480.06</c:v>
                </c:pt>
                <c:pt idx="3">
                  <c:v>439.63</c:v>
                </c:pt>
                <c:pt idx="4">
                  <c:v>394.15</c:v>
                </c:pt>
                <c:pt idx="5">
                  <c:v>381.97</c:v>
                </c:pt>
              </c:numCache>
            </c:numRef>
          </c:yVal>
          <c:smooth val="1"/>
          <c:extLst>
            <c:ext xmlns:c16="http://schemas.microsoft.com/office/drawing/2014/chart" uri="{C3380CC4-5D6E-409C-BE32-E72D297353CC}">
              <c16:uniqueId val="{00000001-1A62-440E-B2F0-3BE29863B318}"/>
            </c:ext>
          </c:extLst>
        </c:ser>
        <c:dLbls>
          <c:showLegendKey val="0"/>
          <c:showVal val="0"/>
          <c:showCatName val="0"/>
          <c:showSerName val="0"/>
          <c:showPercent val="0"/>
          <c:showBubbleSize val="0"/>
        </c:dLbls>
        <c:axId val="461748416"/>
        <c:axId val="1"/>
        <c:extLst/>
      </c:scatterChart>
      <c:valAx>
        <c:axId val="461748416"/>
        <c:scaling>
          <c:orientation val="minMax"/>
          <c:max val="5000"/>
        </c:scaling>
        <c:delete val="0"/>
        <c:axPos val="b"/>
        <c:majorGridlines/>
        <c:title>
          <c:tx>
            <c:rich>
              <a:bodyPr/>
              <a:lstStyle/>
              <a:p>
                <a:pPr>
                  <a:defRPr sz="1000" b="1" i="0" u="none" strike="noStrike" baseline="0">
                    <a:solidFill>
                      <a:srgbClr val="000000"/>
                    </a:solidFill>
                    <a:latin typeface="Century Gothic" panose="020B0502020202020204" pitchFamily="34" charset="0"/>
                    <a:ea typeface="Calibri"/>
                    <a:cs typeface="Calibri"/>
                  </a:defRPr>
                </a:pPr>
                <a:r>
                  <a:rPr lang="en-CA" sz="1600">
                    <a:latin typeface="Century Gothic" panose="020B0502020202020204" pitchFamily="34" charset="0"/>
                  </a:rPr>
                  <a:t>Pressure [psi]</a:t>
                </a:r>
              </a:p>
            </c:rich>
          </c:tx>
          <c:overlay val="0"/>
        </c:title>
        <c:numFmt formatCode="General" sourceLinked="1"/>
        <c:majorTickMark val="out"/>
        <c:minorTickMark val="none"/>
        <c:tickLblPos val="nextTo"/>
        <c:txPr>
          <a:bodyPr rot="0" vert="horz"/>
          <a:lstStyle/>
          <a:p>
            <a:pPr>
              <a:defRPr sz="1400" b="0" i="0" u="none" strike="noStrike" baseline="0">
                <a:solidFill>
                  <a:srgbClr val="000000"/>
                </a:solidFill>
                <a:latin typeface="Century Gothic" panose="020B0502020202020204" pitchFamily="34" charset="0"/>
                <a:ea typeface="Calibri"/>
                <a:cs typeface="Calibri"/>
              </a:defRPr>
            </a:pPr>
            <a:endParaRPr lang="en-US"/>
          </a:p>
        </c:txPr>
        <c:crossAx val="1"/>
        <c:crosses val="autoZero"/>
        <c:crossBetween val="midCat"/>
      </c:valAx>
      <c:valAx>
        <c:axId val="1"/>
        <c:scaling>
          <c:orientation val="minMax"/>
          <c:max val="2500"/>
          <c:min val="0"/>
        </c:scaling>
        <c:delete val="0"/>
        <c:axPos val="l"/>
        <c:majorGridlines/>
        <c:title>
          <c:tx>
            <c:rich>
              <a:bodyPr/>
              <a:lstStyle/>
              <a:p>
                <a:pPr>
                  <a:defRPr sz="1000" b="1" i="0" u="none" strike="noStrike" baseline="0">
                    <a:solidFill>
                      <a:srgbClr val="000000"/>
                    </a:solidFill>
                    <a:latin typeface="Century Gothic" panose="020B0502020202020204" pitchFamily="34" charset="0"/>
                    <a:ea typeface="Calibri"/>
                    <a:cs typeface="Calibri"/>
                  </a:defRPr>
                </a:pPr>
                <a:r>
                  <a:rPr lang="en-CA" sz="1600">
                    <a:latin typeface="Century Gothic" panose="020B0502020202020204" pitchFamily="34" charset="0"/>
                  </a:rPr>
                  <a:t>Volume </a:t>
                </a:r>
                <a:r>
                  <a:rPr lang="en-CA" sz="1600" baseline="0">
                    <a:latin typeface="Century Gothic" panose="020B0502020202020204" pitchFamily="34" charset="0"/>
                  </a:rPr>
                  <a:t> [ </a:t>
                </a:r>
                <a:r>
                  <a:rPr lang="en-CA" sz="1600">
                    <a:latin typeface="Century Gothic" panose="020B0502020202020204" pitchFamily="34" charset="0"/>
                  </a:rPr>
                  <a:t>L/Day ]</a:t>
                </a:r>
              </a:p>
            </c:rich>
          </c:tx>
          <c:overlay val="0"/>
        </c:title>
        <c:numFmt formatCode="0" sourceLinked="0"/>
        <c:majorTickMark val="out"/>
        <c:minorTickMark val="none"/>
        <c:tickLblPos val="nextTo"/>
        <c:txPr>
          <a:bodyPr rot="0" vert="horz"/>
          <a:lstStyle/>
          <a:p>
            <a:pPr>
              <a:defRPr sz="1600" b="0" i="0" u="none" strike="noStrike" baseline="0">
                <a:solidFill>
                  <a:srgbClr val="000000"/>
                </a:solidFill>
                <a:latin typeface="Century Gothic" panose="020B0502020202020204" pitchFamily="34" charset="0"/>
                <a:ea typeface="Calibri"/>
                <a:cs typeface="Calibri"/>
              </a:defRPr>
            </a:pPr>
            <a:endParaRPr lang="en-US"/>
          </a:p>
        </c:txPr>
        <c:crossAx val="461748416"/>
        <c:crosses val="autoZero"/>
        <c:crossBetween val="midCat"/>
        <c:majorUnit val="250"/>
      </c:valAx>
    </c:plotArea>
    <c:legend>
      <c:legendPos val="r"/>
      <c:layout>
        <c:manualLayout>
          <c:xMode val="edge"/>
          <c:yMode val="edge"/>
          <c:x val="0.57594116120100369"/>
          <c:y val="0.19771586040398506"/>
          <c:w val="0.35100435522482765"/>
          <c:h val="0.34608026492906241"/>
        </c:manualLayout>
      </c:layout>
      <c:overlay val="0"/>
      <c:spPr>
        <a:solidFill>
          <a:schemeClr val="bg1"/>
        </a:solidFill>
        <a:ln w="28575">
          <a:solidFill>
            <a:schemeClr val="tx1"/>
          </a:solidFill>
        </a:ln>
      </c:spPr>
      <c:txPr>
        <a:bodyPr/>
        <a:lstStyle/>
        <a:p>
          <a:pPr>
            <a:defRPr sz="1200" b="0" i="0" u="none" strike="noStrike" baseline="0">
              <a:solidFill>
                <a:srgbClr val="000000"/>
              </a:solidFill>
              <a:latin typeface="Century Gothic" panose="020B0502020202020204" pitchFamily="34" charset="0"/>
              <a:ea typeface="DengXian Light" panose="020B0503020204020204" pitchFamily="2" charset="-122"/>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COMET2_SH300!$O$78</c:f>
              <c:strCache>
                <c:ptCount val="1"/>
                <c:pt idx="0">
                  <c:v>flow</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COMET2_SH300!$N$79:$N$84</c:f>
              <c:numCache>
                <c:formatCode>General</c:formatCode>
                <c:ptCount val="6"/>
                <c:pt idx="0">
                  <c:v>9.9499999999999993</c:v>
                </c:pt>
                <c:pt idx="1">
                  <c:v>10.72</c:v>
                </c:pt>
                <c:pt idx="2">
                  <c:v>11.92</c:v>
                </c:pt>
                <c:pt idx="3">
                  <c:v>13.92</c:v>
                </c:pt>
                <c:pt idx="4">
                  <c:v>18.399999999999999</c:v>
                </c:pt>
                <c:pt idx="5">
                  <c:v>20.499999999999996</c:v>
                </c:pt>
              </c:numCache>
            </c:numRef>
          </c:xVal>
          <c:yVal>
            <c:numRef>
              <c:f>COMET2_SH300!$O$79:$O$84</c:f>
              <c:numCache>
                <c:formatCode>0.00</c:formatCode>
                <c:ptCount val="6"/>
                <c:pt idx="0">
                  <c:v>32</c:v>
                </c:pt>
                <c:pt idx="1">
                  <c:v>31</c:v>
                </c:pt>
                <c:pt idx="2">
                  <c:v>29</c:v>
                </c:pt>
                <c:pt idx="3">
                  <c:v>28</c:v>
                </c:pt>
                <c:pt idx="4">
                  <c:v>26</c:v>
                </c:pt>
                <c:pt idx="5">
                  <c:v>24</c:v>
                </c:pt>
              </c:numCache>
            </c:numRef>
          </c:yVal>
          <c:smooth val="0"/>
          <c:extLst>
            <c:ext xmlns:c16="http://schemas.microsoft.com/office/drawing/2014/chart" uri="{C3380CC4-5D6E-409C-BE32-E72D297353CC}">
              <c16:uniqueId val="{00000000-D9B7-4760-A7D6-41AA8C2C5D9B}"/>
            </c:ext>
          </c:extLst>
        </c:ser>
        <c:dLbls>
          <c:showLegendKey val="0"/>
          <c:showVal val="0"/>
          <c:showCatName val="0"/>
          <c:showSerName val="0"/>
          <c:showPercent val="0"/>
          <c:showBubbleSize val="0"/>
        </c:dLbls>
        <c:axId val="747196152"/>
        <c:axId val="747196808"/>
      </c:scatterChart>
      <c:valAx>
        <c:axId val="7471961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196808"/>
        <c:crosses val="autoZero"/>
        <c:crossBetween val="midCat"/>
      </c:valAx>
      <c:valAx>
        <c:axId val="7471968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19615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055082278537712E-2"/>
          <c:y val="1.7786401487589941E-2"/>
          <c:w val="0.90602252470147726"/>
          <c:h val="0.94470326183760134"/>
        </c:manualLayout>
      </c:layout>
      <c:scatterChart>
        <c:scatterStyle val="smoothMarker"/>
        <c:varyColors val="0"/>
        <c:ser>
          <c:idx val="0"/>
          <c:order val="0"/>
          <c:tx>
            <c:strRef>
              <c:f>Sheet1!$A$1</c:f>
              <c:strCache>
                <c:ptCount val="1"/>
                <c:pt idx="0">
                  <c:v>FUSION3 100, DUAL HEAD, 24 VDC</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Sheet1!$A$3:$A$8</c:f>
              <c:numCache>
                <c:formatCode>General</c:formatCode>
                <c:ptCount val="6"/>
                <c:pt idx="0">
                  <c:v>0</c:v>
                </c:pt>
                <c:pt idx="1">
                  <c:v>100</c:v>
                </c:pt>
                <c:pt idx="2">
                  <c:v>250</c:v>
                </c:pt>
                <c:pt idx="3">
                  <c:v>500</c:v>
                </c:pt>
                <c:pt idx="4">
                  <c:v>750</c:v>
                </c:pt>
                <c:pt idx="5">
                  <c:v>1000</c:v>
                </c:pt>
              </c:numCache>
            </c:numRef>
          </c:xVal>
          <c:yVal>
            <c:numRef>
              <c:f>Sheet1!$B$3:$B$8</c:f>
              <c:numCache>
                <c:formatCode>General</c:formatCode>
                <c:ptCount val="6"/>
                <c:pt idx="0">
                  <c:v>2166.67</c:v>
                </c:pt>
                <c:pt idx="1">
                  <c:v>1921.67</c:v>
                </c:pt>
                <c:pt idx="2">
                  <c:v>1865</c:v>
                </c:pt>
                <c:pt idx="3">
                  <c:v>1823.33</c:v>
                </c:pt>
                <c:pt idx="4">
                  <c:v>1761.67</c:v>
                </c:pt>
                <c:pt idx="5">
                  <c:v>1730</c:v>
                </c:pt>
              </c:numCache>
            </c:numRef>
          </c:yVal>
          <c:smooth val="1"/>
          <c:extLst>
            <c:ext xmlns:c16="http://schemas.microsoft.com/office/drawing/2014/chart" uri="{C3380CC4-5D6E-409C-BE32-E72D297353CC}">
              <c16:uniqueId val="{00000000-1401-4F54-AAA4-F20739DF364B}"/>
            </c:ext>
          </c:extLst>
        </c:ser>
        <c:ser>
          <c:idx val="1"/>
          <c:order val="1"/>
          <c:tx>
            <c:strRef>
              <c:f>Sheet1!$A$11</c:f>
              <c:strCache>
                <c:ptCount val="1"/>
                <c:pt idx="0">
                  <c:v>FUSION3 300, SINGLE HEAD, 24 VDC</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3271669219675186"/>
                  <c:y val="3.1908575095345678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Sheet1!$A$13:$A$18</c:f>
              <c:numCache>
                <c:formatCode>General</c:formatCode>
                <c:ptCount val="6"/>
                <c:pt idx="0">
                  <c:v>0</c:v>
                </c:pt>
                <c:pt idx="1">
                  <c:v>100</c:v>
                </c:pt>
                <c:pt idx="2">
                  <c:v>500</c:v>
                </c:pt>
                <c:pt idx="3">
                  <c:v>1000</c:v>
                </c:pt>
                <c:pt idx="4">
                  <c:v>2000</c:v>
                </c:pt>
                <c:pt idx="5">
                  <c:v>3000</c:v>
                </c:pt>
              </c:numCache>
            </c:numRef>
          </c:xVal>
          <c:yVal>
            <c:numRef>
              <c:f>Sheet1!$B$13:$B$18</c:f>
              <c:numCache>
                <c:formatCode>General</c:formatCode>
                <c:ptCount val="6"/>
                <c:pt idx="0">
                  <c:v>368.55</c:v>
                </c:pt>
                <c:pt idx="1">
                  <c:v>359.46</c:v>
                </c:pt>
                <c:pt idx="2">
                  <c:v>349.01</c:v>
                </c:pt>
                <c:pt idx="3">
                  <c:v>336.21</c:v>
                </c:pt>
                <c:pt idx="4">
                  <c:v>322.39999999999998</c:v>
                </c:pt>
                <c:pt idx="5">
                  <c:v>308.25</c:v>
                </c:pt>
              </c:numCache>
            </c:numRef>
          </c:yVal>
          <c:smooth val="1"/>
          <c:extLst>
            <c:ext xmlns:c16="http://schemas.microsoft.com/office/drawing/2014/chart" uri="{C3380CC4-5D6E-409C-BE32-E72D297353CC}">
              <c16:uniqueId val="{00000001-1401-4F54-AAA4-F20739DF364B}"/>
            </c:ext>
          </c:extLst>
        </c:ser>
        <c:ser>
          <c:idx val="2"/>
          <c:order val="2"/>
          <c:tx>
            <c:strRef>
              <c:f>Sheet1!$A$21</c:f>
              <c:strCache>
                <c:ptCount val="1"/>
                <c:pt idx="0">
                  <c:v>FUSION3 300, DUAL HEAD, 24 VDC</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1.6157856547795006E-4"/>
                  <c:y val="-3.474408653077958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Sheet1!$A$23:$A$28</c:f>
              <c:numCache>
                <c:formatCode>General</c:formatCode>
                <c:ptCount val="6"/>
                <c:pt idx="0">
                  <c:v>0</c:v>
                </c:pt>
                <c:pt idx="1">
                  <c:v>100</c:v>
                </c:pt>
                <c:pt idx="2">
                  <c:v>500</c:v>
                </c:pt>
                <c:pt idx="3">
                  <c:v>1000</c:v>
                </c:pt>
                <c:pt idx="4">
                  <c:v>2000</c:v>
                </c:pt>
                <c:pt idx="5">
                  <c:v>3000</c:v>
                </c:pt>
              </c:numCache>
            </c:numRef>
          </c:xVal>
          <c:yVal>
            <c:numRef>
              <c:f>Sheet1!$B$23:$B$28</c:f>
              <c:numCache>
                <c:formatCode>General</c:formatCode>
                <c:ptCount val="6"/>
                <c:pt idx="0">
                  <c:v>739.12</c:v>
                </c:pt>
                <c:pt idx="1">
                  <c:v>711.5</c:v>
                </c:pt>
                <c:pt idx="2">
                  <c:v>693.64</c:v>
                </c:pt>
                <c:pt idx="3">
                  <c:v>672.76</c:v>
                </c:pt>
                <c:pt idx="4">
                  <c:v>626.94000000000005</c:v>
                </c:pt>
                <c:pt idx="5">
                  <c:v>584.49</c:v>
                </c:pt>
              </c:numCache>
            </c:numRef>
          </c:yVal>
          <c:smooth val="1"/>
          <c:extLst>
            <c:ext xmlns:c16="http://schemas.microsoft.com/office/drawing/2014/chart" uri="{C3380CC4-5D6E-409C-BE32-E72D297353CC}">
              <c16:uniqueId val="{00000002-1401-4F54-AAA4-F20739DF364B}"/>
            </c:ext>
          </c:extLst>
        </c:ser>
        <c:ser>
          <c:idx val="3"/>
          <c:order val="3"/>
          <c:tx>
            <c:strRef>
              <c:f>Sheet1!$A$31</c:f>
              <c:strCache>
                <c:ptCount val="1"/>
                <c:pt idx="0">
                  <c:v>FUSION3 500, SINGLE HEAD, 24 VDC</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1.0507421640554316E-2"/>
                  <c:y val="3.5460889969398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Sheet1!$A$33:$A$38</c:f>
              <c:numCache>
                <c:formatCode>General</c:formatCode>
                <c:ptCount val="6"/>
                <c:pt idx="0">
                  <c:v>0</c:v>
                </c:pt>
                <c:pt idx="1">
                  <c:v>500</c:v>
                </c:pt>
                <c:pt idx="2">
                  <c:v>1000</c:v>
                </c:pt>
                <c:pt idx="3">
                  <c:v>3000</c:v>
                </c:pt>
                <c:pt idx="4">
                  <c:v>4000</c:v>
                </c:pt>
                <c:pt idx="5">
                  <c:v>4350</c:v>
                </c:pt>
              </c:numCache>
            </c:numRef>
          </c:xVal>
          <c:yVal>
            <c:numRef>
              <c:f>Sheet1!$B$33:$B$38</c:f>
              <c:numCache>
                <c:formatCode>General</c:formatCode>
                <c:ptCount val="6"/>
                <c:pt idx="0">
                  <c:v>257.72000000000003</c:v>
                </c:pt>
                <c:pt idx="1">
                  <c:v>242.56</c:v>
                </c:pt>
                <c:pt idx="2">
                  <c:v>237.5</c:v>
                </c:pt>
                <c:pt idx="3">
                  <c:v>212.24</c:v>
                </c:pt>
                <c:pt idx="4">
                  <c:v>202.13</c:v>
                </c:pt>
                <c:pt idx="5">
                  <c:v>200.09</c:v>
                </c:pt>
              </c:numCache>
            </c:numRef>
          </c:yVal>
          <c:smooth val="1"/>
          <c:extLst>
            <c:ext xmlns:c16="http://schemas.microsoft.com/office/drawing/2014/chart" uri="{C3380CC4-5D6E-409C-BE32-E72D297353CC}">
              <c16:uniqueId val="{00000003-1401-4F54-AAA4-F20739DF364B}"/>
            </c:ext>
          </c:extLst>
        </c:ser>
        <c:ser>
          <c:idx val="4"/>
          <c:order val="4"/>
          <c:tx>
            <c:strRef>
              <c:f>Sheet1!$A$42</c:f>
              <c:strCache>
                <c:ptCount val="1"/>
                <c:pt idx="0">
                  <c:v>FUSION3 500, DUAL HEAD, 24 VDC</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0"/>
            <c:dispEq val="1"/>
            <c:trendlineLbl>
              <c:layout>
                <c:manualLayout>
                  <c:x val="4.0370902869223256E-2"/>
                  <c:y val="-3.563620761326735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Sheet1!$A$44:$A$49</c:f>
              <c:numCache>
                <c:formatCode>General</c:formatCode>
                <c:ptCount val="6"/>
                <c:pt idx="0">
                  <c:v>0</c:v>
                </c:pt>
                <c:pt idx="1">
                  <c:v>500</c:v>
                </c:pt>
                <c:pt idx="2">
                  <c:v>1000</c:v>
                </c:pt>
                <c:pt idx="3">
                  <c:v>3000</c:v>
                </c:pt>
                <c:pt idx="4">
                  <c:v>4000</c:v>
                </c:pt>
                <c:pt idx="5">
                  <c:v>4350</c:v>
                </c:pt>
              </c:numCache>
            </c:numRef>
          </c:xVal>
          <c:yVal>
            <c:numRef>
              <c:f>Sheet1!$B$44:$B$49</c:f>
              <c:numCache>
                <c:formatCode>General</c:formatCode>
                <c:ptCount val="6"/>
                <c:pt idx="0">
                  <c:v>525.54</c:v>
                </c:pt>
                <c:pt idx="1">
                  <c:v>495.22</c:v>
                </c:pt>
                <c:pt idx="2">
                  <c:v>480.06</c:v>
                </c:pt>
                <c:pt idx="3">
                  <c:v>439.63</c:v>
                </c:pt>
                <c:pt idx="4">
                  <c:v>394.15</c:v>
                </c:pt>
                <c:pt idx="5">
                  <c:v>381.97</c:v>
                </c:pt>
              </c:numCache>
            </c:numRef>
          </c:yVal>
          <c:smooth val="1"/>
          <c:extLst>
            <c:ext xmlns:c16="http://schemas.microsoft.com/office/drawing/2014/chart" uri="{C3380CC4-5D6E-409C-BE32-E72D297353CC}">
              <c16:uniqueId val="{00000004-1401-4F54-AAA4-F20739DF364B}"/>
            </c:ext>
          </c:extLst>
        </c:ser>
        <c:dLbls>
          <c:showLegendKey val="0"/>
          <c:showVal val="0"/>
          <c:showCatName val="0"/>
          <c:showSerName val="0"/>
          <c:showPercent val="0"/>
          <c:showBubbleSize val="0"/>
        </c:dLbls>
        <c:axId val="2087292912"/>
        <c:axId val="2087299392"/>
      </c:scatterChart>
      <c:valAx>
        <c:axId val="20872929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7299392"/>
        <c:crosses val="autoZero"/>
        <c:crossBetween val="midCat"/>
      </c:valAx>
      <c:valAx>
        <c:axId val="2087299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7292912"/>
        <c:crosses val="autoZero"/>
        <c:crossBetween val="midCat"/>
      </c:valAx>
      <c:spPr>
        <a:noFill/>
        <a:ln>
          <a:noFill/>
        </a:ln>
        <a:effectLst/>
      </c:spPr>
    </c:plotArea>
    <c:legend>
      <c:legendPos val="r"/>
      <c:layout>
        <c:manualLayout>
          <c:xMode val="edge"/>
          <c:yMode val="edge"/>
          <c:x val="0.38584211209946878"/>
          <c:y val="0.30697610167150158"/>
          <c:w val="0.28423752385047435"/>
          <c:h val="0.272861478053783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COMET2_SH300!$Q$78</c:f>
              <c:strCache>
                <c:ptCount val="1"/>
                <c:pt idx="0">
                  <c:v>flow</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COMET2_SH300!$P$79:$P$84</c:f>
              <c:numCache>
                <c:formatCode>General</c:formatCode>
                <c:ptCount val="6"/>
                <c:pt idx="0">
                  <c:v>13.290000000000001</c:v>
                </c:pt>
                <c:pt idx="1">
                  <c:v>15.06</c:v>
                </c:pt>
                <c:pt idx="2">
                  <c:v>16.959999999999997</c:v>
                </c:pt>
                <c:pt idx="3">
                  <c:v>21.720000000000002</c:v>
                </c:pt>
                <c:pt idx="4">
                  <c:v>31.219999999999995</c:v>
                </c:pt>
                <c:pt idx="5">
                  <c:v>36.080000000000005</c:v>
                </c:pt>
              </c:numCache>
            </c:numRef>
          </c:xVal>
          <c:yVal>
            <c:numRef>
              <c:f>COMET2_SH300!$Q$79:$Q$84</c:f>
              <c:numCache>
                <c:formatCode>0.00</c:formatCode>
                <c:ptCount val="6"/>
                <c:pt idx="0">
                  <c:v>42.666666666666664</c:v>
                </c:pt>
                <c:pt idx="1">
                  <c:v>41.333333333333329</c:v>
                </c:pt>
                <c:pt idx="2">
                  <c:v>40.666666666666664</c:v>
                </c:pt>
                <c:pt idx="3">
                  <c:v>38</c:v>
                </c:pt>
                <c:pt idx="4">
                  <c:v>35.333333333333329</c:v>
                </c:pt>
                <c:pt idx="5">
                  <c:v>32.666666666666664</c:v>
                </c:pt>
              </c:numCache>
            </c:numRef>
          </c:yVal>
          <c:smooth val="0"/>
          <c:extLst>
            <c:ext xmlns:c16="http://schemas.microsoft.com/office/drawing/2014/chart" uri="{C3380CC4-5D6E-409C-BE32-E72D297353CC}">
              <c16:uniqueId val="{00000000-9735-4443-B1F6-ED402C2EE707}"/>
            </c:ext>
          </c:extLst>
        </c:ser>
        <c:dLbls>
          <c:showLegendKey val="0"/>
          <c:showVal val="0"/>
          <c:showCatName val="0"/>
          <c:showSerName val="0"/>
          <c:showPercent val="0"/>
          <c:showBubbleSize val="0"/>
        </c:dLbls>
        <c:axId val="744539552"/>
        <c:axId val="744537256"/>
      </c:scatterChart>
      <c:valAx>
        <c:axId val="7445395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537256"/>
        <c:crosses val="autoZero"/>
        <c:crossBetween val="midCat"/>
      </c:valAx>
      <c:valAx>
        <c:axId val="7445372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53955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Comet2 3</a:t>
            </a:r>
          </a:p>
          <a:p>
            <a:pPr>
              <a:defRPr/>
            </a:pPr>
            <a:r>
              <a:rPr lang="en-US"/>
              <a:t>00</a:t>
            </a:r>
          </a:p>
        </c:rich>
      </c:tx>
      <c:layout>
        <c:manualLayout>
          <c:xMode val="edge"/>
          <c:yMode val="edge"/>
          <c:x val="0.30150113401050277"/>
          <c:y val="2.17821204808531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COMET2_DH300!$B$46</c:f>
              <c:strCache>
                <c:ptCount val="1"/>
                <c:pt idx="0">
                  <c:v>1000</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1.4594119979606865E-2"/>
                  <c:y val="-0.1451468566429196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COMET2_DH300!$A$46:$A$51</c:f>
              <c:numCache>
                <c:formatCode>General</c:formatCode>
                <c:ptCount val="6"/>
                <c:pt idx="0">
                  <c:v>0</c:v>
                </c:pt>
                <c:pt idx="1">
                  <c:v>100</c:v>
                </c:pt>
                <c:pt idx="2">
                  <c:v>500</c:v>
                </c:pt>
                <c:pt idx="3">
                  <c:v>1000</c:v>
                </c:pt>
                <c:pt idx="4">
                  <c:v>2000</c:v>
                </c:pt>
                <c:pt idx="5">
                  <c:v>3000</c:v>
                </c:pt>
              </c:numCache>
            </c:numRef>
          </c:xVal>
          <c:yVal>
            <c:numRef>
              <c:f>COMET2_DH300!$I$46:$I$51</c:f>
              <c:numCache>
                <c:formatCode>0.00</c:formatCode>
                <c:ptCount val="6"/>
                <c:pt idx="0">
                  <c:v>623.37662337662334</c:v>
                </c:pt>
                <c:pt idx="1">
                  <c:v>600</c:v>
                </c:pt>
                <c:pt idx="2">
                  <c:v>564.70588235294122</c:v>
                </c:pt>
                <c:pt idx="3">
                  <c:v>533.33333333333337</c:v>
                </c:pt>
                <c:pt idx="4">
                  <c:v>436.36363636363637</c:v>
                </c:pt>
                <c:pt idx="5">
                  <c:v>342.85714285714283</c:v>
                </c:pt>
              </c:numCache>
            </c:numRef>
          </c:yVal>
          <c:smooth val="0"/>
          <c:extLst>
            <c:ext xmlns:c16="http://schemas.microsoft.com/office/drawing/2014/chart" uri="{C3380CC4-5D6E-409C-BE32-E72D297353CC}">
              <c16:uniqueId val="{00000001-8A94-4A15-9A1E-D8C1CC11E1B2}"/>
            </c:ext>
          </c:extLst>
        </c:ser>
        <c:ser>
          <c:idx val="1"/>
          <c:order val="1"/>
          <c:tx>
            <c:strRef>
              <c:f>COMET2_DH300!$B$39</c:f>
              <c:strCache>
                <c:ptCount val="1"/>
                <c:pt idx="0">
                  <c:v>800</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0"/>
            <c:dispEq val="0"/>
          </c:trendline>
          <c:xVal>
            <c:numRef>
              <c:f>COMET2_DH300!$A$39:$A$44</c:f>
              <c:numCache>
                <c:formatCode>General</c:formatCode>
                <c:ptCount val="6"/>
                <c:pt idx="0">
                  <c:v>0</c:v>
                </c:pt>
                <c:pt idx="1">
                  <c:v>100</c:v>
                </c:pt>
                <c:pt idx="2">
                  <c:v>500</c:v>
                </c:pt>
                <c:pt idx="3">
                  <c:v>1000</c:v>
                </c:pt>
                <c:pt idx="4">
                  <c:v>2000</c:v>
                </c:pt>
                <c:pt idx="5">
                  <c:v>3000</c:v>
                </c:pt>
              </c:numCache>
            </c:numRef>
          </c:xVal>
          <c:yVal>
            <c:numRef>
              <c:f>COMET2_DH300!$I$39:$I$44</c:f>
              <c:numCache>
                <c:formatCode>0.00</c:formatCode>
                <c:ptCount val="6"/>
                <c:pt idx="0">
                  <c:v>521.73913043478262</c:v>
                </c:pt>
                <c:pt idx="1">
                  <c:v>505.26315789473682</c:v>
                </c:pt>
                <c:pt idx="2">
                  <c:v>480</c:v>
                </c:pt>
                <c:pt idx="3">
                  <c:v>436.36363636363637</c:v>
                </c:pt>
                <c:pt idx="4">
                  <c:v>342.85714285714283</c:v>
                </c:pt>
                <c:pt idx="5">
                  <c:v>266.66666666666669</c:v>
                </c:pt>
              </c:numCache>
            </c:numRef>
          </c:yVal>
          <c:smooth val="0"/>
          <c:extLst>
            <c:ext xmlns:c16="http://schemas.microsoft.com/office/drawing/2014/chart" uri="{C3380CC4-5D6E-409C-BE32-E72D297353CC}">
              <c16:uniqueId val="{00000003-8A94-4A15-9A1E-D8C1CC11E1B2}"/>
            </c:ext>
          </c:extLst>
        </c:ser>
        <c:ser>
          <c:idx val="2"/>
          <c:order val="2"/>
          <c:tx>
            <c:strRef>
              <c:f>COMET2_DH300!$B$32</c:f>
              <c:strCache>
                <c:ptCount val="1"/>
                <c:pt idx="0">
                  <c:v>600</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0"/>
            <c:dispEq val="0"/>
          </c:trendline>
          <c:xVal>
            <c:numRef>
              <c:f>COMET2_DH300!$A$32:$A$37</c:f>
              <c:numCache>
                <c:formatCode>General</c:formatCode>
                <c:ptCount val="6"/>
                <c:pt idx="0">
                  <c:v>0</c:v>
                </c:pt>
                <c:pt idx="1">
                  <c:v>100</c:v>
                </c:pt>
                <c:pt idx="2">
                  <c:v>500</c:v>
                </c:pt>
                <c:pt idx="3">
                  <c:v>1000</c:v>
                </c:pt>
                <c:pt idx="4">
                  <c:v>2000</c:v>
                </c:pt>
                <c:pt idx="5">
                  <c:v>3000</c:v>
                </c:pt>
              </c:numCache>
            </c:numRef>
          </c:xVal>
          <c:yVal>
            <c:numRef>
              <c:f>COMET2_DH300!$I$32:$I$37</c:f>
              <c:numCache>
                <c:formatCode>0.00</c:formatCode>
                <c:ptCount val="6"/>
                <c:pt idx="0">
                  <c:v>384</c:v>
                </c:pt>
                <c:pt idx="1">
                  <c:v>369.23076923076923</c:v>
                </c:pt>
                <c:pt idx="2">
                  <c:v>342.85714285714283</c:v>
                </c:pt>
                <c:pt idx="3">
                  <c:v>320</c:v>
                </c:pt>
                <c:pt idx="4">
                  <c:v>252.63157894736841</c:v>
                </c:pt>
                <c:pt idx="5">
                  <c:v>208.69565217391303</c:v>
                </c:pt>
              </c:numCache>
            </c:numRef>
          </c:yVal>
          <c:smooth val="0"/>
          <c:extLst>
            <c:ext xmlns:c16="http://schemas.microsoft.com/office/drawing/2014/chart" uri="{C3380CC4-5D6E-409C-BE32-E72D297353CC}">
              <c16:uniqueId val="{00000005-8A94-4A15-9A1E-D8C1CC11E1B2}"/>
            </c:ext>
          </c:extLst>
        </c:ser>
        <c:ser>
          <c:idx val="3"/>
          <c:order val="3"/>
          <c:tx>
            <c:strRef>
              <c:f>COMET2_DH300!$B$25</c:f>
              <c:strCache>
                <c:ptCount val="1"/>
                <c:pt idx="0">
                  <c:v>400</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ly"/>
            <c:order val="2"/>
            <c:dispRSqr val="0"/>
            <c:dispEq val="0"/>
          </c:trendline>
          <c:xVal>
            <c:numRef>
              <c:f>COMET2_DH300!$A$25:$A$30</c:f>
              <c:numCache>
                <c:formatCode>General</c:formatCode>
                <c:ptCount val="6"/>
                <c:pt idx="0">
                  <c:v>0</c:v>
                </c:pt>
                <c:pt idx="1">
                  <c:v>100</c:v>
                </c:pt>
                <c:pt idx="2">
                  <c:v>500</c:v>
                </c:pt>
                <c:pt idx="3">
                  <c:v>1000</c:v>
                </c:pt>
                <c:pt idx="4">
                  <c:v>2000</c:v>
                </c:pt>
                <c:pt idx="5">
                  <c:v>3000</c:v>
                </c:pt>
              </c:numCache>
            </c:numRef>
          </c:xVal>
          <c:yVal>
            <c:numRef>
              <c:f>COMET2_DH300!$I$25:$I$30</c:f>
              <c:numCache>
                <c:formatCode>0.00</c:formatCode>
                <c:ptCount val="6"/>
                <c:pt idx="0">
                  <c:v>252.63157894736841</c:v>
                </c:pt>
                <c:pt idx="1">
                  <c:v>240</c:v>
                </c:pt>
                <c:pt idx="2">
                  <c:v>228.57142857142858</c:v>
                </c:pt>
                <c:pt idx="3">
                  <c:v>218.18181818181819</c:v>
                </c:pt>
                <c:pt idx="4">
                  <c:v>171.42857142857142</c:v>
                </c:pt>
                <c:pt idx="5">
                  <c:v>129.72972972972974</c:v>
                </c:pt>
              </c:numCache>
            </c:numRef>
          </c:yVal>
          <c:smooth val="0"/>
          <c:extLst>
            <c:ext xmlns:c16="http://schemas.microsoft.com/office/drawing/2014/chart" uri="{C3380CC4-5D6E-409C-BE32-E72D297353CC}">
              <c16:uniqueId val="{00000007-8A94-4A15-9A1E-D8C1CC11E1B2}"/>
            </c:ext>
          </c:extLst>
        </c:ser>
        <c:ser>
          <c:idx val="4"/>
          <c:order val="4"/>
          <c:tx>
            <c:strRef>
              <c:f>COMET2_DH300!$B$18</c:f>
              <c:strCache>
                <c:ptCount val="1"/>
                <c:pt idx="0">
                  <c:v>200</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wer"/>
            <c:dispRSqr val="0"/>
            <c:dispEq val="0"/>
          </c:trendline>
          <c:trendline>
            <c:spPr>
              <a:ln w="19050" cap="rnd">
                <a:solidFill>
                  <a:schemeClr val="accent5"/>
                </a:solidFill>
                <a:prstDash val="sysDot"/>
              </a:ln>
              <a:effectLst/>
            </c:spPr>
            <c:trendlineType val="poly"/>
            <c:order val="2"/>
            <c:dispRSqr val="0"/>
            <c:dispEq val="0"/>
          </c:trendline>
          <c:xVal>
            <c:numRef>
              <c:f>COMET2_DH300!$A$18:$A$23</c:f>
              <c:numCache>
                <c:formatCode>General</c:formatCode>
                <c:ptCount val="6"/>
                <c:pt idx="0">
                  <c:v>0</c:v>
                </c:pt>
                <c:pt idx="1">
                  <c:v>100</c:v>
                </c:pt>
                <c:pt idx="2">
                  <c:v>500</c:v>
                </c:pt>
                <c:pt idx="3">
                  <c:v>1000</c:v>
                </c:pt>
                <c:pt idx="4">
                  <c:v>2000</c:v>
                </c:pt>
                <c:pt idx="5">
                  <c:v>3000</c:v>
                </c:pt>
              </c:numCache>
            </c:numRef>
          </c:xVal>
          <c:yVal>
            <c:numRef>
              <c:f>COMET2_DH300!$P$18:$P$23</c:f>
              <c:numCache>
                <c:formatCode>General</c:formatCode>
                <c:ptCount val="6"/>
                <c:pt idx="0">
                  <c:v>123.07692307692307</c:v>
                </c:pt>
                <c:pt idx="1">
                  <c:v>114.28571428571428</c:v>
                </c:pt>
                <c:pt idx="2">
                  <c:v>106.66666666666666</c:v>
                </c:pt>
                <c:pt idx="3">
                  <c:v>100</c:v>
                </c:pt>
                <c:pt idx="4">
                  <c:v>84.210526315789465</c:v>
                </c:pt>
                <c:pt idx="5">
                  <c:v>80</c:v>
                </c:pt>
              </c:numCache>
            </c:numRef>
          </c:yVal>
          <c:smooth val="0"/>
          <c:extLst>
            <c:ext xmlns:c16="http://schemas.microsoft.com/office/drawing/2014/chart" uri="{C3380CC4-5D6E-409C-BE32-E72D297353CC}">
              <c16:uniqueId val="{0000000A-8A94-4A15-9A1E-D8C1CC11E1B2}"/>
            </c:ext>
          </c:extLst>
        </c:ser>
        <c:ser>
          <c:idx val="5"/>
          <c:order val="5"/>
          <c:tx>
            <c:strRef>
              <c:f>COMET2_DH300!$B$11</c:f>
              <c:strCache>
                <c:ptCount val="1"/>
                <c:pt idx="0">
                  <c:v>100</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0"/>
            <c:dispEq val="0"/>
          </c:trendline>
          <c:xVal>
            <c:numRef>
              <c:f>COMET2_DH300!$A$11:$A$16</c:f>
              <c:numCache>
                <c:formatCode>General</c:formatCode>
                <c:ptCount val="6"/>
                <c:pt idx="0">
                  <c:v>0</c:v>
                </c:pt>
                <c:pt idx="1">
                  <c:v>100</c:v>
                </c:pt>
                <c:pt idx="2">
                  <c:v>500</c:v>
                </c:pt>
                <c:pt idx="3">
                  <c:v>1000</c:v>
                </c:pt>
                <c:pt idx="4">
                  <c:v>2000</c:v>
                </c:pt>
                <c:pt idx="5">
                  <c:v>3000</c:v>
                </c:pt>
              </c:numCache>
            </c:numRef>
          </c:xVal>
          <c:yVal>
            <c:numRef>
              <c:f>COMET2_DH300!$P$11:$P$16</c:f>
              <c:numCache>
                <c:formatCode>General</c:formatCode>
                <c:ptCount val="6"/>
                <c:pt idx="0">
                  <c:v>62</c:v>
                </c:pt>
                <c:pt idx="1">
                  <c:v>57</c:v>
                </c:pt>
                <c:pt idx="2">
                  <c:v>53</c:v>
                </c:pt>
                <c:pt idx="3">
                  <c:v>49</c:v>
                </c:pt>
                <c:pt idx="4">
                  <c:v>41</c:v>
                </c:pt>
                <c:pt idx="5">
                  <c:v>33</c:v>
                </c:pt>
              </c:numCache>
            </c:numRef>
          </c:yVal>
          <c:smooth val="0"/>
          <c:extLst>
            <c:ext xmlns:c16="http://schemas.microsoft.com/office/drawing/2014/chart" uri="{C3380CC4-5D6E-409C-BE32-E72D297353CC}">
              <c16:uniqueId val="{0000000C-8A94-4A15-9A1E-D8C1CC11E1B2}"/>
            </c:ext>
          </c:extLst>
        </c:ser>
        <c:dLbls>
          <c:showLegendKey val="0"/>
          <c:showVal val="0"/>
          <c:showCatName val="0"/>
          <c:showSerName val="0"/>
          <c:showPercent val="0"/>
          <c:showBubbleSize val="0"/>
        </c:dLbls>
        <c:axId val="705849336"/>
        <c:axId val="705839168"/>
      </c:scatterChart>
      <c:valAx>
        <c:axId val="7058493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Pressure (psi)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39168"/>
        <c:crosses val="autoZero"/>
        <c:crossBetween val="midCat"/>
        <c:majorUnit val="100"/>
      </c:valAx>
      <c:valAx>
        <c:axId val="705839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rate</a:t>
                </a:r>
                <a:r>
                  <a:rPr lang="en-US" baseline="0"/>
                  <a:t> (L/d)</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8493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200</a:t>
            </a:r>
            <a:r>
              <a:rPr lang="en-US" baseline="0"/>
              <a:t> rpm</a:t>
            </a:r>
          </a:p>
        </c:rich>
      </c:tx>
      <c:layout>
        <c:manualLayout>
          <c:xMode val="edge"/>
          <c:yMode val="edge"/>
          <c:x val="0.36782633420822403"/>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COMET2_DH300!$O$84:$O$89</c:f>
              <c:numCache>
                <c:formatCode>General</c:formatCode>
                <c:ptCount val="6"/>
                <c:pt idx="0">
                  <c:v>11.529999999999998</c:v>
                </c:pt>
                <c:pt idx="1">
                  <c:v>14.5</c:v>
                </c:pt>
                <c:pt idx="2">
                  <c:v>17.899999999999999</c:v>
                </c:pt>
                <c:pt idx="3">
                  <c:v>24.6</c:v>
                </c:pt>
                <c:pt idx="4">
                  <c:v>41.559999999999995</c:v>
                </c:pt>
                <c:pt idx="5">
                  <c:v>46.7</c:v>
                </c:pt>
              </c:numCache>
            </c:numRef>
          </c:xVal>
          <c:yVal>
            <c:numRef>
              <c:f>COMET2_DH300!$P$84:$P$89</c:f>
              <c:numCache>
                <c:formatCode>0.00</c:formatCode>
                <c:ptCount val="6"/>
                <c:pt idx="0">
                  <c:v>123.07692307692307</c:v>
                </c:pt>
                <c:pt idx="1">
                  <c:v>114.28571428571428</c:v>
                </c:pt>
                <c:pt idx="2">
                  <c:v>106.66666666666666</c:v>
                </c:pt>
                <c:pt idx="3">
                  <c:v>100</c:v>
                </c:pt>
                <c:pt idx="4">
                  <c:v>84.210526315789465</c:v>
                </c:pt>
                <c:pt idx="5">
                  <c:v>80</c:v>
                </c:pt>
              </c:numCache>
            </c:numRef>
          </c:yVal>
          <c:smooth val="0"/>
          <c:extLst>
            <c:ext xmlns:c16="http://schemas.microsoft.com/office/drawing/2014/chart" uri="{C3380CC4-5D6E-409C-BE32-E72D297353CC}">
              <c16:uniqueId val="{00000000-65B8-4E71-A37E-BEB8BE13ACDA}"/>
            </c:ext>
          </c:extLst>
        </c:ser>
        <c:dLbls>
          <c:showLegendKey val="0"/>
          <c:showVal val="0"/>
          <c:showCatName val="0"/>
          <c:showSerName val="0"/>
          <c:showPercent val="0"/>
          <c:showBubbleSize val="0"/>
        </c:dLbls>
        <c:axId val="744525776"/>
        <c:axId val="744525120"/>
      </c:scatterChart>
      <c:valAx>
        <c:axId val="744525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525120"/>
        <c:crosses val="autoZero"/>
        <c:crossBetween val="midCat"/>
      </c:valAx>
      <c:valAx>
        <c:axId val="7445251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5257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100 rpm</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COMET2_DH300!$M$84:$M$89</c:f>
              <c:numCache>
                <c:formatCode>General</c:formatCode>
                <c:ptCount val="6"/>
                <c:pt idx="0">
                  <c:v>7.9699999999999989</c:v>
                </c:pt>
                <c:pt idx="1">
                  <c:v>9.82</c:v>
                </c:pt>
                <c:pt idx="2">
                  <c:v>11.6</c:v>
                </c:pt>
                <c:pt idx="3">
                  <c:v>14.079999999999998</c:v>
                </c:pt>
                <c:pt idx="4">
                  <c:v>22.36</c:v>
                </c:pt>
                <c:pt idx="5">
                  <c:v>24.42</c:v>
                </c:pt>
              </c:numCache>
            </c:numRef>
          </c:xVal>
          <c:yVal>
            <c:numRef>
              <c:f>COMET2_DH300!$N$84:$N$89</c:f>
              <c:numCache>
                <c:formatCode>0.00</c:formatCode>
                <c:ptCount val="6"/>
                <c:pt idx="0">
                  <c:v>62</c:v>
                </c:pt>
                <c:pt idx="1">
                  <c:v>57</c:v>
                </c:pt>
                <c:pt idx="2">
                  <c:v>53</c:v>
                </c:pt>
                <c:pt idx="3">
                  <c:v>49</c:v>
                </c:pt>
                <c:pt idx="4">
                  <c:v>41</c:v>
                </c:pt>
                <c:pt idx="5">
                  <c:v>33</c:v>
                </c:pt>
              </c:numCache>
            </c:numRef>
          </c:yVal>
          <c:smooth val="0"/>
          <c:extLst>
            <c:ext xmlns:c16="http://schemas.microsoft.com/office/drawing/2014/chart" uri="{C3380CC4-5D6E-409C-BE32-E72D297353CC}">
              <c16:uniqueId val="{00000000-2B07-45C8-9805-28E33F0210C0}"/>
            </c:ext>
          </c:extLst>
        </c:ser>
        <c:dLbls>
          <c:showLegendKey val="0"/>
          <c:showVal val="0"/>
          <c:showCatName val="0"/>
          <c:showSerName val="0"/>
          <c:showPercent val="0"/>
          <c:showBubbleSize val="0"/>
        </c:dLbls>
        <c:axId val="747191888"/>
        <c:axId val="747205664"/>
      </c:scatterChart>
      <c:valAx>
        <c:axId val="747191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205664"/>
        <c:crosses val="autoZero"/>
        <c:crossBetween val="midCat"/>
      </c:valAx>
      <c:valAx>
        <c:axId val="7472056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19188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COMET2_DH300!$A$46:$A$51</c:f>
              <c:numCache>
                <c:formatCode>General</c:formatCode>
                <c:ptCount val="6"/>
                <c:pt idx="0">
                  <c:v>0</c:v>
                </c:pt>
                <c:pt idx="1">
                  <c:v>100</c:v>
                </c:pt>
                <c:pt idx="2">
                  <c:v>500</c:v>
                </c:pt>
                <c:pt idx="3">
                  <c:v>1000</c:v>
                </c:pt>
                <c:pt idx="4">
                  <c:v>2000</c:v>
                </c:pt>
                <c:pt idx="5">
                  <c:v>3000</c:v>
                </c:pt>
              </c:numCache>
            </c:numRef>
          </c:xVal>
          <c:yVal>
            <c:numRef>
              <c:f>COMET2_DH300!$I$46:$I$51</c:f>
              <c:numCache>
                <c:formatCode>0.00</c:formatCode>
                <c:ptCount val="6"/>
                <c:pt idx="0">
                  <c:v>623.37662337662334</c:v>
                </c:pt>
                <c:pt idx="1">
                  <c:v>600</c:v>
                </c:pt>
                <c:pt idx="2">
                  <c:v>564.70588235294122</c:v>
                </c:pt>
                <c:pt idx="3">
                  <c:v>533.33333333333337</c:v>
                </c:pt>
                <c:pt idx="4">
                  <c:v>436.36363636363637</c:v>
                </c:pt>
                <c:pt idx="5">
                  <c:v>342.85714285714283</c:v>
                </c:pt>
              </c:numCache>
            </c:numRef>
          </c:yVal>
          <c:smooth val="1"/>
          <c:extLst>
            <c:ext xmlns:c16="http://schemas.microsoft.com/office/drawing/2014/chart" uri="{C3380CC4-5D6E-409C-BE32-E72D297353CC}">
              <c16:uniqueId val="{00000000-CDDC-49DB-97F1-DF57F7160DC2}"/>
            </c:ext>
          </c:extLst>
        </c:ser>
        <c:dLbls>
          <c:showLegendKey val="0"/>
          <c:showVal val="0"/>
          <c:showCatName val="0"/>
          <c:showSerName val="0"/>
          <c:showPercent val="0"/>
          <c:showBubbleSize val="0"/>
        </c:dLbls>
        <c:axId val="120667663"/>
        <c:axId val="120668023"/>
      </c:scatterChart>
      <c:valAx>
        <c:axId val="12066766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668023"/>
        <c:crosses val="autoZero"/>
        <c:crossBetween val="midCat"/>
      </c:valAx>
      <c:valAx>
        <c:axId val="12066802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667663"/>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F6DB8F0-8A8F-4A0C-8E31-BBD72848B343}">
  <sheetPr codeName="Chart12">
    <tabColor rgb="FFFF0000"/>
  </sheetPr>
  <sheetViews>
    <sheetView workbookViewId="0"/>
  </sheetViews>
  <pageMargins left="0.7" right="0.7" top="0.75" bottom="0.75" header="0.3" footer="0.3"/>
  <pageSetup orientation="landscape" horizontalDpi="300" verticalDpi="300"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3E12D31-91F7-40F9-9945-592EAD61029C}">
  <sheetPr codeName="Chart14">
    <tabColor rgb="FFFFFF00"/>
  </sheetPr>
  <sheetViews>
    <sheetView workbookViewId="0"/>
  </sheetViews>
  <pageMargins left="0.7" right="0.7" top="0.75" bottom="0.75" header="0.3" footer="0.3"/>
  <pageSetup orientation="landscape" horizontalDpi="300" verticalDpi="300"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2BB0401-CEFE-4CEB-A240-9D53E17E5117}">
  <sheetPr codeName="Chart1"/>
  <sheetViews>
    <sheetView workbookViewId="0"/>
  </sheetViews>
  <pageMargins left="0.7" right="0.7" top="0.75" bottom="0.75" header="0.3" footer="0.3"/>
  <pageSetup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9E4BE78-948D-4C21-A413-72966C841F95}">
  <sheetPr codeName="Chart2"/>
  <sheetViews>
    <sheetView workbookViewId="0"/>
  </sheetViews>
  <pageMargins left="0.7" right="0.7" top="0.75" bottom="0.75" header="0.3" footer="0.3"/>
  <pageSetup orientation="landscape"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Chart15"/>
  <sheetViews>
    <sheetView workbookViewId="0"/>
  </sheetViews>
  <sheetProtection algorithmName="SHA-512" hashValue="h9GGpGuWXls5jnSvjK1kgwCe5uWQp/bwYZiYkj4Xsj0/Ci7cdC/u33ib+jvuZBjZAPbk/Eoufb0AAmxhaLhR3w==" saltValue="uqlHcWrzWkCfDK+YQ22C/g==" spinCount="100000" content="1" objects="1"/>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2.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2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editAs="absolute">
    <xdr:from>
      <xdr:col>5</xdr:col>
      <xdr:colOff>243840</xdr:colOff>
      <xdr:row>4</xdr:row>
      <xdr:rowOff>76201</xdr:rowOff>
    </xdr:from>
    <xdr:to>
      <xdr:col>5</xdr:col>
      <xdr:colOff>1392555</xdr:colOff>
      <xdr:row>4</xdr:row>
      <xdr:rowOff>741148</xdr:rowOff>
    </xdr:to>
    <xdr:pic>
      <xdr:nvPicPr>
        <xdr:cNvPr id="27317" name="Picture 59" descr="SiriusLogo">
          <a:extLst>
            <a:ext uri="{FF2B5EF4-FFF2-40B4-BE49-F238E27FC236}">
              <a16:creationId xmlns:a16="http://schemas.microsoft.com/office/drawing/2014/main" id="{00000000-0008-0000-0000-0000B56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0" y="542926"/>
          <a:ext cx="1152525" cy="669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5</xdr:col>
      <xdr:colOff>1733550</xdr:colOff>
      <xdr:row>4</xdr:row>
      <xdr:rowOff>152400</xdr:rowOff>
    </xdr:from>
    <xdr:to>
      <xdr:col>8</xdr:col>
      <xdr:colOff>1354937</xdr:colOff>
      <xdr:row>4</xdr:row>
      <xdr:rowOff>667256</xdr:rowOff>
    </xdr:to>
    <xdr:sp macro="" textlink="">
      <xdr:nvSpPr>
        <xdr:cNvPr id="7" name="TextBox 6">
          <a:extLst>
            <a:ext uri="{FF2B5EF4-FFF2-40B4-BE49-F238E27FC236}">
              <a16:creationId xmlns:a16="http://schemas.microsoft.com/office/drawing/2014/main" id="{3E31E0C2-BDC8-49F3-A5C6-54380CB55183}"/>
            </a:ext>
          </a:extLst>
        </xdr:cNvPr>
        <xdr:cNvSpPr txBox="1"/>
      </xdr:nvSpPr>
      <xdr:spPr>
        <a:xfrm>
          <a:off x="2066925" y="314325"/>
          <a:ext cx="3365665" cy="505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CA" sz="1600" b="1">
              <a:latin typeface="Arial" panose="020B0604020202020204" pitchFamily="34" charset="0"/>
              <a:cs typeface="Arial" panose="020B0604020202020204" pitchFamily="34" charset="0"/>
            </a:rPr>
            <a:t>Flow-Spec Solar</a:t>
          </a:r>
          <a:r>
            <a:rPr lang="en-CA" sz="1600" b="1" baseline="0">
              <a:latin typeface="Arial" panose="020B0604020202020204" pitchFamily="34" charset="0"/>
              <a:cs typeface="Arial" panose="020B0604020202020204" pitchFamily="34" charset="0"/>
            </a:rPr>
            <a:t> Sizing Software</a:t>
          </a:r>
        </a:p>
        <a:p>
          <a:pPr algn="ctr"/>
          <a:r>
            <a:rPr lang="en-CA" sz="1200" b="1" baseline="0">
              <a:latin typeface="Arial" panose="020B0604020202020204" pitchFamily="34" charset="0"/>
              <a:cs typeface="Arial" panose="020B0604020202020204" pitchFamily="34" charset="0"/>
            </a:rPr>
            <a:t>(all rights reserved)</a:t>
          </a:r>
          <a:endParaRPr lang="en-CA" sz="1200" b="1">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151285</xdr:colOff>
      <xdr:row>25</xdr:row>
      <xdr:rowOff>103887</xdr:rowOff>
    </xdr:from>
    <xdr:to>
      <xdr:col>46</xdr:col>
      <xdr:colOff>373433</xdr:colOff>
      <xdr:row>51</xdr:row>
      <xdr:rowOff>61391</xdr:rowOff>
    </xdr:to>
    <xdr:graphicFrame macro="">
      <xdr:nvGraphicFramePr>
        <xdr:cNvPr id="2" name="Chart 1">
          <a:extLst>
            <a:ext uri="{FF2B5EF4-FFF2-40B4-BE49-F238E27FC236}">
              <a16:creationId xmlns:a16="http://schemas.microsoft.com/office/drawing/2014/main" id="{ED88FCE8-9060-4A98-93A7-5126F80606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47625</xdr:colOff>
      <xdr:row>88</xdr:row>
      <xdr:rowOff>133350</xdr:rowOff>
    </xdr:from>
    <xdr:to>
      <xdr:col>32</xdr:col>
      <xdr:colOff>352425</xdr:colOff>
      <xdr:row>103</xdr:row>
      <xdr:rowOff>19050</xdr:rowOff>
    </xdr:to>
    <xdr:graphicFrame macro="">
      <xdr:nvGraphicFramePr>
        <xdr:cNvPr id="3" name="Chart 2">
          <a:extLst>
            <a:ext uri="{FF2B5EF4-FFF2-40B4-BE49-F238E27FC236}">
              <a16:creationId xmlns:a16="http://schemas.microsoft.com/office/drawing/2014/main" id="{B15579A1-9968-477C-BC9E-2F1D77391E74}"/>
            </a:ext>
            <a:ext uri="{147F2762-F138-4A5C-976F-8EAC2B608ADB}">
              <a16:predDERef xmlns:a16="http://schemas.microsoft.com/office/drawing/2014/main" pred="{FDA1A4B4-E9E9-4374-99C4-AC146ACA4B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234662</xdr:colOff>
      <xdr:row>74</xdr:row>
      <xdr:rowOff>107373</xdr:rowOff>
    </xdr:from>
    <xdr:to>
      <xdr:col>32</xdr:col>
      <xdr:colOff>535998</xdr:colOff>
      <xdr:row>88</xdr:row>
      <xdr:rowOff>183573</xdr:rowOff>
    </xdr:to>
    <xdr:graphicFrame macro="">
      <xdr:nvGraphicFramePr>
        <xdr:cNvPr id="4" name="Chart 3">
          <a:extLst>
            <a:ext uri="{FF2B5EF4-FFF2-40B4-BE49-F238E27FC236}">
              <a16:creationId xmlns:a16="http://schemas.microsoft.com/office/drawing/2014/main" id="{ED9DB4A6-AB5D-44F6-B6E6-36CE80C4E59D}"/>
            </a:ext>
            <a:ext uri="{147F2762-F138-4A5C-976F-8EAC2B608ADB}">
              <a16:predDERef xmlns:a16="http://schemas.microsoft.com/office/drawing/2014/main" pred="{DF9DD1BE-32A1-4065-8E23-D5542C0620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467590</xdr:colOff>
      <xdr:row>54</xdr:row>
      <xdr:rowOff>138557</xdr:rowOff>
    </xdr:from>
    <xdr:to>
      <xdr:col>38</xdr:col>
      <xdr:colOff>190499</xdr:colOff>
      <xdr:row>69</xdr:row>
      <xdr:rowOff>24257</xdr:rowOff>
    </xdr:to>
    <xdr:graphicFrame macro="">
      <xdr:nvGraphicFramePr>
        <xdr:cNvPr id="5" name="Chart 4">
          <a:extLst>
            <a:ext uri="{FF2B5EF4-FFF2-40B4-BE49-F238E27FC236}">
              <a16:creationId xmlns:a16="http://schemas.microsoft.com/office/drawing/2014/main" id="{90A0ADA4-858F-4FCB-9F10-8936FDCF37F8}"/>
            </a:ext>
            <a:ext uri="{147F2762-F138-4A5C-976F-8EAC2B608ADB}">
              <a16:predDERef xmlns:a16="http://schemas.microsoft.com/office/drawing/2014/main" pred="{CB2AFF72-2CFB-48A1-92F6-BB3F1B451C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23</xdr:col>
      <xdr:colOff>428376</xdr:colOff>
      <xdr:row>24</xdr:row>
      <xdr:rowOff>103887</xdr:rowOff>
    </xdr:from>
    <xdr:to>
      <xdr:col>41</xdr:col>
      <xdr:colOff>442706</xdr:colOff>
      <xdr:row>50</xdr:row>
      <xdr:rowOff>61391</xdr:rowOff>
    </xdr:to>
    <xdr:graphicFrame macro="">
      <xdr:nvGraphicFramePr>
        <xdr:cNvPr id="2" name="Chart 1">
          <a:extLst>
            <a:ext uri="{FF2B5EF4-FFF2-40B4-BE49-F238E27FC236}">
              <a16:creationId xmlns:a16="http://schemas.microsoft.com/office/drawing/2014/main" id="{D76925F7-E8A1-48C5-B4C4-BE2CD1ED40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47625</xdr:colOff>
      <xdr:row>88</xdr:row>
      <xdr:rowOff>133350</xdr:rowOff>
    </xdr:from>
    <xdr:to>
      <xdr:col>32</xdr:col>
      <xdr:colOff>352425</xdr:colOff>
      <xdr:row>103</xdr:row>
      <xdr:rowOff>19050</xdr:rowOff>
    </xdr:to>
    <xdr:graphicFrame macro="">
      <xdr:nvGraphicFramePr>
        <xdr:cNvPr id="3" name="Chart 2">
          <a:extLst>
            <a:ext uri="{FF2B5EF4-FFF2-40B4-BE49-F238E27FC236}">
              <a16:creationId xmlns:a16="http://schemas.microsoft.com/office/drawing/2014/main" id="{1EA45703-56AA-4E32-8524-69EE4ECD3D51}"/>
            </a:ext>
            <a:ext uri="{147F2762-F138-4A5C-976F-8EAC2B608ADB}">
              <a16:predDERef xmlns:a16="http://schemas.microsoft.com/office/drawing/2014/main" pred="{01AB391B-EF84-481F-A698-26635FB86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234662</xdr:colOff>
      <xdr:row>74</xdr:row>
      <xdr:rowOff>107373</xdr:rowOff>
    </xdr:from>
    <xdr:to>
      <xdr:col>32</xdr:col>
      <xdr:colOff>535998</xdr:colOff>
      <xdr:row>88</xdr:row>
      <xdr:rowOff>183573</xdr:rowOff>
    </xdr:to>
    <xdr:graphicFrame macro="">
      <xdr:nvGraphicFramePr>
        <xdr:cNvPr id="4" name="Chart 3">
          <a:extLst>
            <a:ext uri="{FF2B5EF4-FFF2-40B4-BE49-F238E27FC236}">
              <a16:creationId xmlns:a16="http://schemas.microsoft.com/office/drawing/2014/main" id="{7D596441-5209-4598-B2D5-A3EF01984325}"/>
            </a:ext>
            <a:ext uri="{147F2762-F138-4A5C-976F-8EAC2B608ADB}">
              <a16:predDERef xmlns:a16="http://schemas.microsoft.com/office/drawing/2014/main" pred="{B091354E-B4DD-41E8-9268-7A017D3F2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467590</xdr:colOff>
      <xdr:row>54</xdr:row>
      <xdr:rowOff>138557</xdr:rowOff>
    </xdr:from>
    <xdr:to>
      <xdr:col>38</xdr:col>
      <xdr:colOff>190499</xdr:colOff>
      <xdr:row>69</xdr:row>
      <xdr:rowOff>24257</xdr:rowOff>
    </xdr:to>
    <xdr:graphicFrame macro="">
      <xdr:nvGraphicFramePr>
        <xdr:cNvPr id="5" name="Chart 4">
          <a:extLst>
            <a:ext uri="{FF2B5EF4-FFF2-40B4-BE49-F238E27FC236}">
              <a16:creationId xmlns:a16="http://schemas.microsoft.com/office/drawing/2014/main" id="{B38A14FA-A9CC-4B39-A904-48147746F85C}"/>
            </a:ext>
            <a:ext uri="{147F2762-F138-4A5C-976F-8EAC2B608ADB}">
              <a16:predDERef xmlns:a16="http://schemas.microsoft.com/office/drawing/2014/main" pred="{A945588A-5F06-4BC7-9A0F-09CB64724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23</xdr:col>
      <xdr:colOff>428376</xdr:colOff>
      <xdr:row>24</xdr:row>
      <xdr:rowOff>103887</xdr:rowOff>
    </xdr:from>
    <xdr:to>
      <xdr:col>41</xdr:col>
      <xdr:colOff>442706</xdr:colOff>
      <xdr:row>50</xdr:row>
      <xdr:rowOff>61391</xdr:rowOff>
    </xdr:to>
    <xdr:graphicFrame macro="">
      <xdr:nvGraphicFramePr>
        <xdr:cNvPr id="2" name="Chart 1">
          <a:extLst>
            <a:ext uri="{FF2B5EF4-FFF2-40B4-BE49-F238E27FC236}">
              <a16:creationId xmlns:a16="http://schemas.microsoft.com/office/drawing/2014/main" id="{4DEC565E-A756-45AE-9ED6-D5B3AB5FF4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47625</xdr:colOff>
      <xdr:row>88</xdr:row>
      <xdr:rowOff>133350</xdr:rowOff>
    </xdr:from>
    <xdr:to>
      <xdr:col>32</xdr:col>
      <xdr:colOff>352425</xdr:colOff>
      <xdr:row>103</xdr:row>
      <xdr:rowOff>19050</xdr:rowOff>
    </xdr:to>
    <xdr:graphicFrame macro="">
      <xdr:nvGraphicFramePr>
        <xdr:cNvPr id="3" name="Chart 2">
          <a:extLst>
            <a:ext uri="{FF2B5EF4-FFF2-40B4-BE49-F238E27FC236}">
              <a16:creationId xmlns:a16="http://schemas.microsoft.com/office/drawing/2014/main" id="{5E091CF3-5C0C-44D2-A1CA-596171180E25}"/>
            </a:ext>
            <a:ext uri="{147F2762-F138-4A5C-976F-8EAC2B608ADB}">
              <a16:predDERef xmlns:a16="http://schemas.microsoft.com/office/drawing/2014/main" pred="{FDA1A4B4-E9E9-4374-99C4-AC146ACA4B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234662</xdr:colOff>
      <xdr:row>74</xdr:row>
      <xdr:rowOff>107373</xdr:rowOff>
    </xdr:from>
    <xdr:to>
      <xdr:col>32</xdr:col>
      <xdr:colOff>535998</xdr:colOff>
      <xdr:row>88</xdr:row>
      <xdr:rowOff>183573</xdr:rowOff>
    </xdr:to>
    <xdr:graphicFrame macro="">
      <xdr:nvGraphicFramePr>
        <xdr:cNvPr id="4" name="Chart 3">
          <a:extLst>
            <a:ext uri="{FF2B5EF4-FFF2-40B4-BE49-F238E27FC236}">
              <a16:creationId xmlns:a16="http://schemas.microsoft.com/office/drawing/2014/main" id="{B0D712A4-A21D-4C17-944D-8EC788025424}"/>
            </a:ext>
            <a:ext uri="{147F2762-F138-4A5C-976F-8EAC2B608ADB}">
              <a16:predDERef xmlns:a16="http://schemas.microsoft.com/office/drawing/2014/main" pred="{DF9DD1BE-32A1-4065-8E23-D5542C0620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467590</xdr:colOff>
      <xdr:row>54</xdr:row>
      <xdr:rowOff>138557</xdr:rowOff>
    </xdr:from>
    <xdr:to>
      <xdr:col>38</xdr:col>
      <xdr:colOff>190499</xdr:colOff>
      <xdr:row>69</xdr:row>
      <xdr:rowOff>24257</xdr:rowOff>
    </xdr:to>
    <xdr:graphicFrame macro="">
      <xdr:nvGraphicFramePr>
        <xdr:cNvPr id="5" name="Chart 4">
          <a:extLst>
            <a:ext uri="{FF2B5EF4-FFF2-40B4-BE49-F238E27FC236}">
              <a16:creationId xmlns:a16="http://schemas.microsoft.com/office/drawing/2014/main" id="{B8CA3640-53A4-40DA-81EA-9ED1DD46A7CF}"/>
            </a:ext>
            <a:ext uri="{147F2762-F138-4A5C-976F-8EAC2B608ADB}">
              <a16:predDERef xmlns:a16="http://schemas.microsoft.com/office/drawing/2014/main" pred="{CB2AFF72-2CFB-48A1-92F6-BB3F1B451C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23</xdr:col>
      <xdr:colOff>428376</xdr:colOff>
      <xdr:row>24</xdr:row>
      <xdr:rowOff>103887</xdr:rowOff>
    </xdr:from>
    <xdr:to>
      <xdr:col>41</xdr:col>
      <xdr:colOff>442706</xdr:colOff>
      <xdr:row>50</xdr:row>
      <xdr:rowOff>61391</xdr:rowOff>
    </xdr:to>
    <xdr:graphicFrame macro="">
      <xdr:nvGraphicFramePr>
        <xdr:cNvPr id="2" name="Chart 1">
          <a:extLst>
            <a:ext uri="{FF2B5EF4-FFF2-40B4-BE49-F238E27FC236}">
              <a16:creationId xmlns:a16="http://schemas.microsoft.com/office/drawing/2014/main" id="{561BE73B-5E29-4709-8391-34E7C03D0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47625</xdr:colOff>
      <xdr:row>88</xdr:row>
      <xdr:rowOff>133350</xdr:rowOff>
    </xdr:from>
    <xdr:to>
      <xdr:col>32</xdr:col>
      <xdr:colOff>352425</xdr:colOff>
      <xdr:row>103</xdr:row>
      <xdr:rowOff>19050</xdr:rowOff>
    </xdr:to>
    <xdr:graphicFrame macro="">
      <xdr:nvGraphicFramePr>
        <xdr:cNvPr id="3" name="Chart 2">
          <a:extLst>
            <a:ext uri="{FF2B5EF4-FFF2-40B4-BE49-F238E27FC236}">
              <a16:creationId xmlns:a16="http://schemas.microsoft.com/office/drawing/2014/main" id="{BDE564FC-394B-4B6C-80FE-B3FC83E3C653}"/>
            </a:ext>
            <a:ext uri="{147F2762-F138-4A5C-976F-8EAC2B608ADB}">
              <a16:predDERef xmlns:a16="http://schemas.microsoft.com/office/drawing/2014/main" pred="{01AB391B-EF84-481F-A698-26635FB86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234662</xdr:colOff>
      <xdr:row>74</xdr:row>
      <xdr:rowOff>107373</xdr:rowOff>
    </xdr:from>
    <xdr:to>
      <xdr:col>32</xdr:col>
      <xdr:colOff>535998</xdr:colOff>
      <xdr:row>88</xdr:row>
      <xdr:rowOff>183573</xdr:rowOff>
    </xdr:to>
    <xdr:graphicFrame macro="">
      <xdr:nvGraphicFramePr>
        <xdr:cNvPr id="4" name="Chart 3">
          <a:extLst>
            <a:ext uri="{FF2B5EF4-FFF2-40B4-BE49-F238E27FC236}">
              <a16:creationId xmlns:a16="http://schemas.microsoft.com/office/drawing/2014/main" id="{492651F9-65B1-408D-906A-D461936A78F8}"/>
            </a:ext>
            <a:ext uri="{147F2762-F138-4A5C-976F-8EAC2B608ADB}">
              <a16:predDERef xmlns:a16="http://schemas.microsoft.com/office/drawing/2014/main" pred="{B091354E-B4DD-41E8-9268-7A017D3F2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467590</xdr:colOff>
      <xdr:row>54</xdr:row>
      <xdr:rowOff>138557</xdr:rowOff>
    </xdr:from>
    <xdr:to>
      <xdr:col>38</xdr:col>
      <xdr:colOff>190499</xdr:colOff>
      <xdr:row>69</xdr:row>
      <xdr:rowOff>24257</xdr:rowOff>
    </xdr:to>
    <xdr:graphicFrame macro="">
      <xdr:nvGraphicFramePr>
        <xdr:cNvPr id="5" name="Chart 4">
          <a:extLst>
            <a:ext uri="{FF2B5EF4-FFF2-40B4-BE49-F238E27FC236}">
              <a16:creationId xmlns:a16="http://schemas.microsoft.com/office/drawing/2014/main" id="{88B88E59-A387-4035-8F79-C47299EF68B2}"/>
            </a:ext>
            <a:ext uri="{147F2762-F138-4A5C-976F-8EAC2B608ADB}">
              <a16:predDERef xmlns:a16="http://schemas.microsoft.com/office/drawing/2014/main" pred="{A945588A-5F06-4BC7-9A0F-09CB64724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BC35F7DE-1EA1-10F8-A15F-CFA11218276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0.77297</cdr:x>
      <cdr:y>0.01061</cdr:y>
    </cdr:from>
    <cdr:to>
      <cdr:x>0.98064</cdr:x>
      <cdr:y>0.17727</cdr:y>
    </cdr:to>
    <cdr:pic>
      <cdr:nvPicPr>
        <cdr:cNvPr id="3" name="Picture 2">
          <a:extLst xmlns:a="http://schemas.openxmlformats.org/drawingml/2006/main">
            <a:ext uri="{FF2B5EF4-FFF2-40B4-BE49-F238E27FC236}">
              <a16:creationId xmlns:a16="http://schemas.microsoft.com/office/drawing/2014/main" id="{BF837380-61D9-44E8-A91E-AF2264BDE8F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696075" y="66675"/>
          <a:ext cx="1798962" cy="1047750"/>
        </a:xfrm>
        <a:prstGeom xmlns:a="http://schemas.openxmlformats.org/drawingml/2006/main" prst="rect">
          <a:avLst/>
        </a:prstGeom>
      </cdr:spPr>
    </cdr:pic>
  </cdr:relSizeAnchor>
</c:userShapes>
</file>

<file path=xl/drawings/drawing16.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FD1A124C-BF60-2DA6-E480-602923437B7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0.77297</cdr:x>
      <cdr:y>0.01061</cdr:y>
    </cdr:from>
    <cdr:to>
      <cdr:x>0.98064</cdr:x>
      <cdr:y>0.17727</cdr:y>
    </cdr:to>
    <cdr:pic>
      <cdr:nvPicPr>
        <cdr:cNvPr id="3" name="Picture 2">
          <a:extLst xmlns:a="http://schemas.openxmlformats.org/drawingml/2006/main">
            <a:ext uri="{FF2B5EF4-FFF2-40B4-BE49-F238E27FC236}">
              <a16:creationId xmlns:a16="http://schemas.microsoft.com/office/drawing/2014/main" id="{BF837380-61D9-44E8-A91E-AF2264BDE8F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696075" y="66675"/>
          <a:ext cx="1798962" cy="1047750"/>
        </a:xfrm>
        <a:prstGeom xmlns:a="http://schemas.openxmlformats.org/drawingml/2006/main" prst="rect">
          <a:avLst/>
        </a:prstGeom>
      </cdr:spPr>
    </cdr:pic>
  </cdr:relSizeAnchor>
</c:userShapes>
</file>

<file path=xl/drawings/drawing18.xml><?xml version="1.0" encoding="utf-8"?>
<xdr:wsDr xmlns:xdr="http://schemas.openxmlformats.org/drawingml/2006/spreadsheetDrawing" xmlns:a="http://schemas.openxmlformats.org/drawingml/2006/main">
  <xdr:absoluteAnchor>
    <xdr:pos x="0" y="0"/>
    <xdr:ext cx="8667750" cy="6296025"/>
    <xdr:graphicFrame macro="">
      <xdr:nvGraphicFramePr>
        <xdr:cNvPr id="3"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0.77297</cdr:x>
      <cdr:y>0.01061</cdr:y>
    </cdr:from>
    <cdr:to>
      <cdr:x>0.98064</cdr:x>
      <cdr:y>0.17727</cdr:y>
    </cdr:to>
    <cdr:pic>
      <cdr:nvPicPr>
        <cdr:cNvPr id="3" name="Picture 2">
          <a:extLst xmlns:a="http://schemas.openxmlformats.org/drawingml/2006/main">
            <a:ext uri="{FF2B5EF4-FFF2-40B4-BE49-F238E27FC236}">
              <a16:creationId xmlns:a16="http://schemas.microsoft.com/office/drawing/2014/main" id="{BF837380-61D9-44E8-A91E-AF2264BDE8F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696075" y="66675"/>
          <a:ext cx="1798962" cy="1047750"/>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xdr:from>
      <xdr:col>9</xdr:col>
      <xdr:colOff>345117</xdr:colOff>
      <xdr:row>47</xdr:row>
      <xdr:rowOff>4890</xdr:rowOff>
    </xdr:from>
    <xdr:to>
      <xdr:col>13</xdr:col>
      <xdr:colOff>307450</xdr:colOff>
      <xdr:row>68</xdr:row>
      <xdr:rowOff>83025</xdr:rowOff>
    </xdr:to>
    <xdr:graphicFrame macro="">
      <xdr:nvGraphicFramePr>
        <xdr:cNvPr id="3" name="Chart 2">
          <a:extLst>
            <a:ext uri="{FF2B5EF4-FFF2-40B4-BE49-F238E27FC236}">
              <a16:creationId xmlns:a16="http://schemas.microsoft.com/office/drawing/2014/main" id="{E25444B3-7A34-4D46-A430-C4F0BD1806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19</xdr:col>
      <xdr:colOff>0</xdr:colOff>
      <xdr:row>2</xdr:row>
      <xdr:rowOff>0</xdr:rowOff>
    </xdr:from>
    <xdr:to>
      <xdr:col>35</xdr:col>
      <xdr:colOff>153740</xdr:colOff>
      <xdr:row>37</xdr:row>
      <xdr:rowOff>166679</xdr:rowOff>
    </xdr:to>
    <xdr:pic>
      <xdr:nvPicPr>
        <xdr:cNvPr id="2" name="Picture 1">
          <a:extLst>
            <a:ext uri="{FF2B5EF4-FFF2-40B4-BE49-F238E27FC236}">
              <a16:creationId xmlns:a16="http://schemas.microsoft.com/office/drawing/2014/main" id="{A56CD62F-7431-8562-EDF3-54748A76B585}"/>
            </a:ext>
          </a:extLst>
        </xdr:cNvPr>
        <xdr:cNvPicPr>
          <a:picLocks noChangeAspect="1"/>
        </xdr:cNvPicPr>
      </xdr:nvPicPr>
      <xdr:blipFill>
        <a:blip xmlns:r="http://schemas.openxmlformats.org/officeDocument/2006/relationships" r:embed="rId2"/>
        <a:stretch>
          <a:fillRect/>
        </a:stretch>
      </xdr:blipFill>
      <xdr:spPr>
        <a:xfrm>
          <a:off x="13315950" y="2314575"/>
          <a:ext cx="9602540" cy="6763694"/>
        </a:xfrm>
        <a:prstGeom prst="rect">
          <a:avLst/>
        </a:prstGeom>
      </xdr:spPr>
    </xdr:pic>
    <xdr:clientData/>
  </xdr:twoCellAnchor>
  <xdr:twoCellAnchor>
    <xdr:from>
      <xdr:col>14</xdr:col>
      <xdr:colOff>257175</xdr:colOff>
      <xdr:row>42</xdr:row>
      <xdr:rowOff>104775</xdr:rowOff>
    </xdr:from>
    <xdr:to>
      <xdr:col>29</xdr:col>
      <xdr:colOff>329565</xdr:colOff>
      <xdr:row>91</xdr:row>
      <xdr:rowOff>24765</xdr:rowOff>
    </xdr:to>
    <xdr:graphicFrame macro="">
      <xdr:nvGraphicFramePr>
        <xdr:cNvPr id="5" name="Chart 4">
          <a:extLst>
            <a:ext uri="{FF2B5EF4-FFF2-40B4-BE49-F238E27FC236}">
              <a16:creationId xmlns:a16="http://schemas.microsoft.com/office/drawing/2014/main" id="{F4C10732-36F2-4354-B474-73CF0ACDC4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7</xdr:col>
      <xdr:colOff>533400</xdr:colOff>
      <xdr:row>1</xdr:row>
      <xdr:rowOff>41910</xdr:rowOff>
    </xdr:from>
    <xdr:to>
      <xdr:col>22</xdr:col>
      <xdr:colOff>320040</xdr:colOff>
      <xdr:row>30</xdr:row>
      <xdr:rowOff>228600</xdr:rowOff>
    </xdr:to>
    <xdr:graphicFrame macro="">
      <xdr:nvGraphicFramePr>
        <xdr:cNvPr id="2" name="Chart 1">
          <a:extLst>
            <a:ext uri="{FF2B5EF4-FFF2-40B4-BE49-F238E27FC236}">
              <a16:creationId xmlns:a16="http://schemas.microsoft.com/office/drawing/2014/main" id="{CBC6C48C-9FCD-F07C-C709-345C3A9FB1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309769</xdr:colOff>
      <xdr:row>19</xdr:row>
      <xdr:rowOff>2070</xdr:rowOff>
    </xdr:from>
    <xdr:to>
      <xdr:col>6</xdr:col>
      <xdr:colOff>875241</xdr:colOff>
      <xdr:row>58</xdr:row>
      <xdr:rowOff>130521</xdr:rowOff>
    </xdr:to>
    <xdr:pic>
      <xdr:nvPicPr>
        <xdr:cNvPr id="3" name="Picture 2">
          <a:extLst>
            <a:ext uri="{FF2B5EF4-FFF2-40B4-BE49-F238E27FC236}">
              <a16:creationId xmlns:a16="http://schemas.microsoft.com/office/drawing/2014/main" id="{1D91B949-E083-2B14-832B-A26EDA4A17D3}"/>
            </a:ext>
          </a:extLst>
        </xdr:cNvPr>
        <xdr:cNvPicPr>
          <a:picLocks noChangeAspect="1"/>
        </xdr:cNvPicPr>
      </xdr:nvPicPr>
      <xdr:blipFill>
        <a:blip xmlns:r="http://schemas.openxmlformats.org/officeDocument/2006/relationships" r:embed="rId1"/>
        <a:stretch>
          <a:fillRect/>
        </a:stretch>
      </xdr:blipFill>
      <xdr:spPr>
        <a:xfrm>
          <a:off x="309769" y="3149461"/>
          <a:ext cx="4284363" cy="6588886"/>
        </a:xfrm>
        <a:prstGeom prst="rect">
          <a:avLst/>
        </a:prstGeom>
      </xdr:spPr>
    </xdr:pic>
    <xdr:clientData/>
  </xdr:twoCellAnchor>
  <xdr:twoCellAnchor editAs="oneCell">
    <xdr:from>
      <xdr:col>6</xdr:col>
      <xdr:colOff>1159566</xdr:colOff>
      <xdr:row>19</xdr:row>
      <xdr:rowOff>24848</xdr:rowOff>
    </xdr:from>
    <xdr:to>
      <xdr:col>6</xdr:col>
      <xdr:colOff>5170151</xdr:colOff>
      <xdr:row>56</xdr:row>
      <xdr:rowOff>125936</xdr:rowOff>
    </xdr:to>
    <xdr:pic>
      <xdr:nvPicPr>
        <xdr:cNvPr id="4" name="Picture 3">
          <a:extLst>
            <a:ext uri="{FF2B5EF4-FFF2-40B4-BE49-F238E27FC236}">
              <a16:creationId xmlns:a16="http://schemas.microsoft.com/office/drawing/2014/main" id="{31DB8F11-DA91-2E91-C701-7A1F86D052B8}"/>
            </a:ext>
          </a:extLst>
        </xdr:cNvPr>
        <xdr:cNvPicPr>
          <a:picLocks noChangeAspect="1"/>
        </xdr:cNvPicPr>
      </xdr:nvPicPr>
      <xdr:blipFill>
        <a:blip xmlns:r="http://schemas.openxmlformats.org/officeDocument/2006/relationships" r:embed="rId2"/>
        <a:stretch>
          <a:fillRect/>
        </a:stretch>
      </xdr:blipFill>
      <xdr:spPr>
        <a:xfrm>
          <a:off x="4878457" y="3172239"/>
          <a:ext cx="4010585" cy="62302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19049</xdr:colOff>
      <xdr:row>29</xdr:row>
      <xdr:rowOff>104775</xdr:rowOff>
    </xdr:from>
    <xdr:to>
      <xdr:col>23</xdr:col>
      <xdr:colOff>104774</xdr:colOff>
      <xdr:row>50</xdr:row>
      <xdr:rowOff>185604</xdr:rowOff>
    </xdr:to>
    <xdr:graphicFrame macro="">
      <xdr:nvGraphicFramePr>
        <xdr:cNvPr id="2" name="Chart 1">
          <a:extLst>
            <a:ext uri="{FF2B5EF4-FFF2-40B4-BE49-F238E27FC236}">
              <a16:creationId xmlns:a16="http://schemas.microsoft.com/office/drawing/2014/main" id="{9A4EA2F1-49B4-4817-A89A-A9715435E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542925</xdr:colOff>
      <xdr:row>59</xdr:row>
      <xdr:rowOff>114300</xdr:rowOff>
    </xdr:from>
    <xdr:to>
      <xdr:col>25</xdr:col>
      <xdr:colOff>238125</xdr:colOff>
      <xdr:row>74</xdr:row>
      <xdr:rowOff>0</xdr:rowOff>
    </xdr:to>
    <xdr:graphicFrame macro="">
      <xdr:nvGraphicFramePr>
        <xdr:cNvPr id="3" name="Chart 2">
          <a:extLst>
            <a:ext uri="{FF2B5EF4-FFF2-40B4-BE49-F238E27FC236}">
              <a16:creationId xmlns:a16="http://schemas.microsoft.com/office/drawing/2014/main" id="{943D75B6-D620-4C93-8014-99F5D0F464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28575</xdr:colOff>
      <xdr:row>74</xdr:row>
      <xdr:rowOff>152400</xdr:rowOff>
    </xdr:from>
    <xdr:to>
      <xdr:col>25</xdr:col>
      <xdr:colOff>333375</xdr:colOff>
      <xdr:row>89</xdr:row>
      <xdr:rowOff>38100</xdr:rowOff>
    </xdr:to>
    <xdr:graphicFrame macro="">
      <xdr:nvGraphicFramePr>
        <xdr:cNvPr id="4" name="Chart 3">
          <a:extLst>
            <a:ext uri="{FF2B5EF4-FFF2-40B4-BE49-F238E27FC236}">
              <a16:creationId xmlns:a16="http://schemas.microsoft.com/office/drawing/2014/main" id="{6E8C7F8D-7637-4ABF-A8F5-A753772DB4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180975</xdr:colOff>
      <xdr:row>26</xdr:row>
      <xdr:rowOff>57150</xdr:rowOff>
    </xdr:from>
    <xdr:to>
      <xdr:col>24</xdr:col>
      <xdr:colOff>600075</xdr:colOff>
      <xdr:row>48</xdr:row>
      <xdr:rowOff>66675</xdr:rowOff>
    </xdr:to>
    <xdr:graphicFrame macro="">
      <xdr:nvGraphicFramePr>
        <xdr:cNvPr id="2" name="Chart 1">
          <a:extLst>
            <a:ext uri="{FF2B5EF4-FFF2-40B4-BE49-F238E27FC236}">
              <a16:creationId xmlns:a16="http://schemas.microsoft.com/office/drawing/2014/main" id="{8B78AF65-93E7-40D3-A910-1B19B2967B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47625</xdr:colOff>
      <xdr:row>87</xdr:row>
      <xdr:rowOff>133350</xdr:rowOff>
    </xdr:from>
    <xdr:to>
      <xdr:col>25</xdr:col>
      <xdr:colOff>352425</xdr:colOff>
      <xdr:row>102</xdr:row>
      <xdr:rowOff>19050</xdr:rowOff>
    </xdr:to>
    <xdr:graphicFrame macro="">
      <xdr:nvGraphicFramePr>
        <xdr:cNvPr id="4" name="Chart 3">
          <a:extLst>
            <a:ext uri="{FF2B5EF4-FFF2-40B4-BE49-F238E27FC236}">
              <a16:creationId xmlns:a16="http://schemas.microsoft.com/office/drawing/2014/main" id="{86D4F780-7317-45AB-A342-295C8F2F9C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581025</xdr:colOff>
      <xdr:row>72</xdr:row>
      <xdr:rowOff>38100</xdr:rowOff>
    </xdr:from>
    <xdr:to>
      <xdr:col>25</xdr:col>
      <xdr:colOff>276225</xdr:colOff>
      <xdr:row>86</xdr:row>
      <xdr:rowOff>114300</xdr:rowOff>
    </xdr:to>
    <xdr:graphicFrame macro="">
      <xdr:nvGraphicFramePr>
        <xdr:cNvPr id="5" name="Chart 4">
          <a:extLst>
            <a:ext uri="{FF2B5EF4-FFF2-40B4-BE49-F238E27FC236}">
              <a16:creationId xmlns:a16="http://schemas.microsoft.com/office/drawing/2014/main" id="{B8F48F9F-3F30-4828-84D2-629E1E46DC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109537</xdr:colOff>
      <xdr:row>49</xdr:row>
      <xdr:rowOff>66675</xdr:rowOff>
    </xdr:from>
    <xdr:to>
      <xdr:col>24</xdr:col>
      <xdr:colOff>414337</xdr:colOff>
      <xdr:row>63</xdr:row>
      <xdr:rowOff>142875</xdr:rowOff>
    </xdr:to>
    <xdr:graphicFrame macro="">
      <xdr:nvGraphicFramePr>
        <xdr:cNvPr id="3" name="Chart 2">
          <a:extLst>
            <a:ext uri="{FF2B5EF4-FFF2-40B4-BE49-F238E27FC236}">
              <a16:creationId xmlns:a16="http://schemas.microsoft.com/office/drawing/2014/main" id="{C9C67D48-EF07-5D05-03D3-155E1772A5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352425</xdr:colOff>
      <xdr:row>35</xdr:row>
      <xdr:rowOff>123825</xdr:rowOff>
    </xdr:from>
    <xdr:to>
      <xdr:col>22</xdr:col>
      <xdr:colOff>19051</xdr:colOff>
      <xdr:row>57</xdr:row>
      <xdr:rowOff>14154</xdr:rowOff>
    </xdr:to>
    <xdr:graphicFrame macro="">
      <xdr:nvGraphicFramePr>
        <xdr:cNvPr id="2" name="Chart 1">
          <a:extLst>
            <a:ext uri="{FF2B5EF4-FFF2-40B4-BE49-F238E27FC236}">
              <a16:creationId xmlns:a16="http://schemas.microsoft.com/office/drawing/2014/main" id="{F042FECB-5911-4306-805D-3BD65A5874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15</xdr:col>
      <xdr:colOff>352425</xdr:colOff>
      <xdr:row>35</xdr:row>
      <xdr:rowOff>123825</xdr:rowOff>
    </xdr:from>
    <xdr:to>
      <xdr:col>22</xdr:col>
      <xdr:colOff>19051</xdr:colOff>
      <xdr:row>57</xdr:row>
      <xdr:rowOff>14154</xdr:rowOff>
    </xdr:to>
    <xdr:graphicFrame macro="">
      <xdr:nvGraphicFramePr>
        <xdr:cNvPr id="2" name="Chart 1">
          <a:extLst>
            <a:ext uri="{FF2B5EF4-FFF2-40B4-BE49-F238E27FC236}">
              <a16:creationId xmlns:a16="http://schemas.microsoft.com/office/drawing/2014/main" id="{C58770B2-10D7-4EC2-8A67-4D95FB750F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428625</xdr:colOff>
      <xdr:row>69</xdr:row>
      <xdr:rowOff>180975</xdr:rowOff>
    </xdr:from>
    <xdr:to>
      <xdr:col>25</xdr:col>
      <xdr:colOff>123825</xdr:colOff>
      <xdr:row>84</xdr:row>
      <xdr:rowOff>66675</xdr:rowOff>
    </xdr:to>
    <xdr:graphicFrame macro="">
      <xdr:nvGraphicFramePr>
        <xdr:cNvPr id="3" name="Chart 2">
          <a:extLst>
            <a:ext uri="{FF2B5EF4-FFF2-40B4-BE49-F238E27FC236}">
              <a16:creationId xmlns:a16="http://schemas.microsoft.com/office/drawing/2014/main" id="{2FFFE95D-7485-48EB-8061-7370A4A2DB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409575</xdr:colOff>
      <xdr:row>86</xdr:row>
      <xdr:rowOff>0</xdr:rowOff>
    </xdr:from>
    <xdr:to>
      <xdr:col>25</xdr:col>
      <xdr:colOff>104775</xdr:colOff>
      <xdr:row>100</xdr:row>
      <xdr:rowOff>76200</xdr:rowOff>
    </xdr:to>
    <xdr:graphicFrame macro="">
      <xdr:nvGraphicFramePr>
        <xdr:cNvPr id="4" name="Chart 3">
          <a:extLst>
            <a:ext uri="{FF2B5EF4-FFF2-40B4-BE49-F238E27FC236}">
              <a16:creationId xmlns:a16="http://schemas.microsoft.com/office/drawing/2014/main" id="{4DB954DF-DE01-450C-964D-BC378B2A86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133350</xdr:colOff>
      <xdr:row>101</xdr:row>
      <xdr:rowOff>161925</xdr:rowOff>
    </xdr:from>
    <xdr:to>
      <xdr:col>24</xdr:col>
      <xdr:colOff>438150</xdr:colOff>
      <xdr:row>116</xdr:row>
      <xdr:rowOff>47625</xdr:rowOff>
    </xdr:to>
    <xdr:graphicFrame macro="">
      <xdr:nvGraphicFramePr>
        <xdr:cNvPr id="6" name="Chart 5">
          <a:extLst>
            <a:ext uri="{FF2B5EF4-FFF2-40B4-BE49-F238E27FC236}">
              <a16:creationId xmlns:a16="http://schemas.microsoft.com/office/drawing/2014/main" id="{FE354561-E361-4AEC-AE05-48AC8E1C57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32F904DA-4DF9-4273-9A41-43AC92120CF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083B6F0-555A-4BA7-8BB2-0748A7BE70F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twoCellAnchor>
    <xdr:from>
      <xdr:col>23</xdr:col>
      <xdr:colOff>428376</xdr:colOff>
      <xdr:row>24</xdr:row>
      <xdr:rowOff>103887</xdr:rowOff>
    </xdr:from>
    <xdr:to>
      <xdr:col>41</xdr:col>
      <xdr:colOff>442706</xdr:colOff>
      <xdr:row>50</xdr:row>
      <xdr:rowOff>61391</xdr:rowOff>
    </xdr:to>
    <xdr:graphicFrame macro="">
      <xdr:nvGraphicFramePr>
        <xdr:cNvPr id="2" name="Chart 1">
          <a:extLst>
            <a:ext uri="{FF2B5EF4-FFF2-40B4-BE49-F238E27FC236}">
              <a16:creationId xmlns:a16="http://schemas.microsoft.com/office/drawing/2014/main" id="{F5CE5AED-A572-47E2-917A-586F9AE5A2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47625</xdr:colOff>
      <xdr:row>88</xdr:row>
      <xdr:rowOff>133350</xdr:rowOff>
    </xdr:from>
    <xdr:to>
      <xdr:col>32</xdr:col>
      <xdr:colOff>352425</xdr:colOff>
      <xdr:row>103</xdr:row>
      <xdr:rowOff>19050</xdr:rowOff>
    </xdr:to>
    <xdr:graphicFrame macro="">
      <xdr:nvGraphicFramePr>
        <xdr:cNvPr id="3" name="Chart 2">
          <a:extLst>
            <a:ext uri="{FF2B5EF4-FFF2-40B4-BE49-F238E27FC236}">
              <a16:creationId xmlns:a16="http://schemas.microsoft.com/office/drawing/2014/main" id="{9FED8941-F1A1-4E33-90C4-B90E864C95C6}"/>
            </a:ext>
            <a:ext uri="{147F2762-F138-4A5C-976F-8EAC2B608ADB}">
              <a16:predDERef xmlns:a16="http://schemas.microsoft.com/office/drawing/2014/main" pred="{FDA1A4B4-E9E9-4374-99C4-AC146ACA4B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234662</xdr:colOff>
      <xdr:row>74</xdr:row>
      <xdr:rowOff>107373</xdr:rowOff>
    </xdr:from>
    <xdr:to>
      <xdr:col>32</xdr:col>
      <xdr:colOff>535998</xdr:colOff>
      <xdr:row>88</xdr:row>
      <xdr:rowOff>183573</xdr:rowOff>
    </xdr:to>
    <xdr:graphicFrame macro="">
      <xdr:nvGraphicFramePr>
        <xdr:cNvPr id="4" name="Chart 3">
          <a:extLst>
            <a:ext uri="{FF2B5EF4-FFF2-40B4-BE49-F238E27FC236}">
              <a16:creationId xmlns:a16="http://schemas.microsoft.com/office/drawing/2014/main" id="{38765540-BEB0-4069-89E6-3083C7B3417B}"/>
            </a:ext>
            <a:ext uri="{147F2762-F138-4A5C-976F-8EAC2B608ADB}">
              <a16:predDERef xmlns:a16="http://schemas.microsoft.com/office/drawing/2014/main" pred="{DF9DD1BE-32A1-4065-8E23-D5542C0620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467590</xdr:colOff>
      <xdr:row>54</xdr:row>
      <xdr:rowOff>138557</xdr:rowOff>
    </xdr:from>
    <xdr:to>
      <xdr:col>38</xdr:col>
      <xdr:colOff>190499</xdr:colOff>
      <xdr:row>69</xdr:row>
      <xdr:rowOff>24257</xdr:rowOff>
    </xdr:to>
    <xdr:graphicFrame macro="">
      <xdr:nvGraphicFramePr>
        <xdr:cNvPr id="5" name="Chart 4">
          <a:extLst>
            <a:ext uri="{FF2B5EF4-FFF2-40B4-BE49-F238E27FC236}">
              <a16:creationId xmlns:a16="http://schemas.microsoft.com/office/drawing/2014/main" id="{80497E86-35F4-4A7B-94F6-1C602D728337}"/>
            </a:ext>
            <a:ext uri="{147F2762-F138-4A5C-976F-8EAC2B608ADB}">
              <a16:predDERef xmlns:a16="http://schemas.microsoft.com/office/drawing/2014/main" pred="{CB2AFF72-2CFB-48A1-92F6-BB3F1B451C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ersonal/cjabusch_siriuscontrols_com/Documents/Attachments/afusion2-flowspec_2-14-(unlocked).xlsx" TargetMode="External"/><Relationship Id="rId2" Type="http://schemas.openxmlformats.org/officeDocument/2006/relationships/externalLinkPath" Target="https://siriuscontrols-my.sharepoint.com/personal/cjabusch_siriuscontrols_com/Documents/Attachments/afusion2-flowspec_2-14-(unlocked).xlsx" TargetMode="External"/><Relationship Id="rId1" Type="http://schemas.openxmlformats.org/officeDocument/2006/relationships/externalLinkPath" Target="/personal/cjabusch_siriuscontrols_com/Documents/Attachments/afusion2-flowspec_2-14-(unlocked).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C:\Users\urasul\AppData\Local\Microsoft\Olk\Attachments\ooa-7ea25493-85c8-4c00-af49-785a61b3c660\1cb93b7a69531795c73083fb09b4859ad57d4db122e5bae7e16cb2abf2e052c4\fusion3%20motor%20flow%20spec%20verification.xlsx" TargetMode="External"/><Relationship Id="rId2" Type="http://schemas.microsoft.com/office/2019/04/relationships/externalLinkLongPath" Target="/Users/urasul/AppData/Local/Microsoft/Olk/Attachments/ooa-7ea25493-85c8-4c00-af49-785a61b3c660/1cb93b7a69531795c73083fb09b4859ad57d4db122e5bae7e16cb2abf2e052c4/fusion3%20motor%20flow%20spec%20verification.xlsx?DD702E8C" TargetMode="External"/><Relationship Id="rId1" Type="http://schemas.openxmlformats.org/officeDocument/2006/relationships/externalLinkPath" Target="file:///\\DD702E8C\fusion3%20motor%20flow%20spec%20verification.xlsx" TargetMode="External"/><Relationship Id="rId4" Type="http://schemas.openxmlformats.org/officeDocument/2006/relationships/externalLinkPath" Target="../../../../Users/urasul/AppData/Local/Microsoft/Olk/Attachments/ooa-7ea25493-85c8-4c00-af49-785a61b3c660/1cb93b7a69531795c73083fb09b4859ad57d4db122e5bae7e16cb2abf2e052c4/fusion3%20motor%20flow%20spec%20verificatio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bboone\AppData\Local\Microsoft\Olk\Attachments\ooa-f12cab23-5c81-46ed-8614-c1aa329cd4d8\4ab95b0764635ce3d22f5dfbd42702c5fcf4dbffd005c58650f3e30a3d89dda4\afusion2-flowspec_2-14%20(38)%20(version%202).xlsx" TargetMode="External"/><Relationship Id="rId1" Type="http://schemas.openxmlformats.org/officeDocument/2006/relationships/externalLinkPath" Target="file:///C:\Users\bboone\AppData\Local\Microsoft\Olk\Attachments\ooa-f12cab23-5c81-46ed-8614-c1aa329cd4d8\4ab95b0764635ce3d22f5dfbd42702c5fcf4dbffd005c58650f3e30a3d89dda4\afusion2-flowspec_2-14%20(38)%20(vers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umpSize"/>
      <sheetName val="CalData-FUS"/>
      <sheetName val="SOLAR_DATA"/>
      <sheetName val="COMET2_SH300"/>
      <sheetName val="COMET2_DH300"/>
      <sheetName val="COMET2_HP-DH500"/>
      <sheetName val="F2_300_SH"/>
      <sheetName val="F2_300_DH"/>
      <sheetName val="F2_500_SH"/>
      <sheetName val="F2_500_DH"/>
      <sheetName val="DH -COMET_100"/>
      <sheetName val="DH_COMET_100 PLOTS"/>
      <sheetName val="DH -F2_100"/>
      <sheetName val="DH_F2_100 PLOTS"/>
      <sheetName val="Pump Curv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AB 24V"/>
      <sheetName val="COMET2_DH300"/>
      <sheetName val="F3 to C2 comparison"/>
      <sheetName val="F2_300_DH"/>
      <sheetName val="eff"/>
      <sheetName val="sight glass comparison"/>
      <sheetName val="FUSION3_DH300 old"/>
      <sheetName val="F2 to F3 comparison"/>
    </sheetNames>
    <sheetDataSet>
      <sheetData sheetId="0"/>
      <sheetData sheetId="1">
        <row r="51">
          <cell r="F51">
            <v>145.69</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umpSize"/>
      <sheetName val="CalData-FUS"/>
      <sheetName val="SOLAR_DATA"/>
      <sheetName val="COMET2_SH300"/>
      <sheetName val="COMET2_DH300"/>
      <sheetName val="COMET2_HP-DH500"/>
      <sheetName val="F2_300_SH"/>
      <sheetName val="F2_300_DH"/>
      <sheetName val="F2_500_SH"/>
      <sheetName val="F2_500_DH"/>
      <sheetName val="DH -COMET_100"/>
      <sheetName val="DH_COMET_100 PLOTS"/>
      <sheetName val="DH -F2_100"/>
      <sheetName val="DH_F2_100 PLOTS"/>
      <sheetName val="FUSION3_DH100"/>
      <sheetName val="FUSION3_SH300"/>
      <sheetName val="FUSION3_DH300"/>
      <sheetName val="FUSION3_SH500 "/>
      <sheetName val="FUSION3_DH500 "/>
      <sheetName val="Fusion3 Pump Curves"/>
      <sheetName val="Fusion 3 flow data"/>
    </sheetNames>
    <sheetDataSet>
      <sheetData sheetId="0" refreshError="1"/>
      <sheetData sheetId="1" refreshError="1"/>
      <sheetData sheetId="2" refreshError="1"/>
      <sheetData sheetId="3">
        <row r="46">
          <cell r="A46">
            <v>0</v>
          </cell>
          <cell r="I46">
            <v>331.0344827586207</v>
          </cell>
        </row>
        <row r="47">
          <cell r="A47">
            <v>100</v>
          </cell>
          <cell r="I47">
            <v>320</v>
          </cell>
        </row>
        <row r="48">
          <cell r="A48">
            <v>500</v>
          </cell>
          <cell r="I48">
            <v>300</v>
          </cell>
        </row>
        <row r="49">
          <cell r="A49">
            <v>1000</v>
          </cell>
          <cell r="I49">
            <v>282.35294117647061</v>
          </cell>
        </row>
        <row r="50">
          <cell r="A50">
            <v>2000</v>
          </cell>
          <cell r="I50">
            <v>260.86956521739131</v>
          </cell>
        </row>
        <row r="51">
          <cell r="A51">
            <v>3000</v>
          </cell>
          <cell r="I51">
            <v>228.57142857142858</v>
          </cell>
        </row>
      </sheetData>
      <sheetData sheetId="4">
        <row r="46">
          <cell r="A46">
            <v>0</v>
          </cell>
          <cell r="I46">
            <v>623.37662337662334</v>
          </cell>
        </row>
        <row r="47">
          <cell r="A47">
            <v>100</v>
          </cell>
          <cell r="I47">
            <v>600</v>
          </cell>
        </row>
        <row r="48">
          <cell r="A48">
            <v>500</v>
          </cell>
          <cell r="I48">
            <v>564.70588235294122</v>
          </cell>
        </row>
        <row r="49">
          <cell r="A49">
            <v>1000</v>
          </cell>
          <cell r="I49">
            <v>533.33333333333337</v>
          </cell>
        </row>
        <row r="50">
          <cell r="A50">
            <v>2000</v>
          </cell>
          <cell r="I50">
            <v>436.36363636363637</v>
          </cell>
        </row>
        <row r="51">
          <cell r="A51">
            <v>3000</v>
          </cell>
          <cell r="I51">
            <v>342.85714285714283</v>
          </cell>
        </row>
      </sheetData>
      <sheetData sheetId="5">
        <row r="46">
          <cell r="A46">
            <v>0</v>
          </cell>
          <cell r="I46">
            <v>468</v>
          </cell>
          <cell r="R46">
            <v>234</v>
          </cell>
        </row>
        <row r="47">
          <cell r="A47">
            <v>500</v>
          </cell>
          <cell r="I47">
            <v>420</v>
          </cell>
          <cell r="R47">
            <v>210</v>
          </cell>
        </row>
        <row r="48">
          <cell r="A48">
            <v>1000</v>
          </cell>
          <cell r="I48">
            <v>372</v>
          </cell>
          <cell r="R48">
            <v>186</v>
          </cell>
        </row>
        <row r="49">
          <cell r="A49">
            <v>3000</v>
          </cell>
          <cell r="I49">
            <v>294</v>
          </cell>
          <cell r="R49">
            <v>147</v>
          </cell>
        </row>
        <row r="50">
          <cell r="A50">
            <v>4000</v>
          </cell>
          <cell r="I50">
            <v>240</v>
          </cell>
          <cell r="R50">
            <v>120</v>
          </cell>
        </row>
        <row r="51">
          <cell r="A51">
            <v>5000</v>
          </cell>
          <cell r="I51">
            <v>212</v>
          </cell>
          <cell r="R51">
            <v>106</v>
          </cell>
        </row>
      </sheetData>
      <sheetData sheetId="6">
        <row r="46">
          <cell r="A46">
            <v>0</v>
          </cell>
          <cell r="I46">
            <v>205</v>
          </cell>
        </row>
        <row r="47">
          <cell r="A47">
            <v>100</v>
          </cell>
          <cell r="I47">
            <v>200</v>
          </cell>
        </row>
        <row r="48">
          <cell r="A48">
            <v>500</v>
          </cell>
          <cell r="I48">
            <v>200</v>
          </cell>
        </row>
        <row r="49">
          <cell r="A49">
            <v>1000</v>
          </cell>
          <cell r="I49">
            <v>195</v>
          </cell>
        </row>
        <row r="50">
          <cell r="A50">
            <v>2000</v>
          </cell>
          <cell r="I50">
            <v>185</v>
          </cell>
        </row>
        <row r="51">
          <cell r="A51">
            <v>3000</v>
          </cell>
          <cell r="I51">
            <v>180</v>
          </cell>
        </row>
      </sheetData>
      <sheetData sheetId="7">
        <row r="46">
          <cell r="A46">
            <v>0</v>
          </cell>
          <cell r="I46">
            <v>410</v>
          </cell>
        </row>
        <row r="47">
          <cell r="A47">
            <v>100</v>
          </cell>
          <cell r="I47">
            <v>405</v>
          </cell>
        </row>
        <row r="48">
          <cell r="A48">
            <v>500</v>
          </cell>
          <cell r="I48">
            <v>395</v>
          </cell>
        </row>
        <row r="49">
          <cell r="A49">
            <v>1000</v>
          </cell>
          <cell r="I49">
            <v>390</v>
          </cell>
        </row>
        <row r="50">
          <cell r="A50">
            <v>2000</v>
          </cell>
          <cell r="I50">
            <v>360</v>
          </cell>
        </row>
        <row r="51">
          <cell r="A51">
            <v>3000</v>
          </cell>
          <cell r="I51">
            <v>345</v>
          </cell>
        </row>
      </sheetData>
      <sheetData sheetId="8">
        <row r="46">
          <cell r="A46">
            <v>0</v>
          </cell>
          <cell r="I46">
            <v>135</v>
          </cell>
        </row>
        <row r="47">
          <cell r="A47">
            <v>500</v>
          </cell>
          <cell r="I47">
            <v>130</v>
          </cell>
        </row>
        <row r="48">
          <cell r="A48">
            <v>1000</v>
          </cell>
          <cell r="I48">
            <v>130</v>
          </cell>
        </row>
        <row r="49">
          <cell r="A49">
            <v>3000</v>
          </cell>
          <cell r="I49">
            <v>125</v>
          </cell>
        </row>
        <row r="50">
          <cell r="A50">
            <v>4000</v>
          </cell>
          <cell r="I50">
            <v>125</v>
          </cell>
        </row>
        <row r="51">
          <cell r="A51">
            <v>5000</v>
          </cell>
          <cell r="I51">
            <v>110</v>
          </cell>
        </row>
      </sheetData>
      <sheetData sheetId="9">
        <row r="46">
          <cell r="A46">
            <v>0</v>
          </cell>
          <cell r="I46">
            <v>280</v>
          </cell>
        </row>
        <row r="47">
          <cell r="A47">
            <v>500</v>
          </cell>
          <cell r="I47">
            <v>270</v>
          </cell>
        </row>
        <row r="48">
          <cell r="A48">
            <v>1000</v>
          </cell>
          <cell r="I48">
            <v>255</v>
          </cell>
        </row>
        <row r="49">
          <cell r="A49">
            <v>3000</v>
          </cell>
          <cell r="I49">
            <v>230</v>
          </cell>
        </row>
        <row r="50">
          <cell r="A50">
            <v>4000</v>
          </cell>
          <cell r="I50">
            <v>225</v>
          </cell>
        </row>
        <row r="51">
          <cell r="A51">
            <v>5000</v>
          </cell>
          <cell r="I51">
            <v>215</v>
          </cell>
        </row>
      </sheetData>
      <sheetData sheetId="10">
        <row r="46">
          <cell r="A46">
            <v>0</v>
          </cell>
          <cell r="I46">
            <v>2042.5531914893618</v>
          </cell>
        </row>
        <row r="47">
          <cell r="A47">
            <v>100</v>
          </cell>
          <cell r="I47">
            <v>1875</v>
          </cell>
        </row>
        <row r="48">
          <cell r="A48">
            <v>250</v>
          </cell>
          <cell r="I48">
            <v>1759.5307917888563</v>
          </cell>
        </row>
        <row r="49">
          <cell r="A49">
            <v>500</v>
          </cell>
          <cell r="I49">
            <v>1668.1146828844485</v>
          </cell>
        </row>
        <row r="50">
          <cell r="A50">
            <v>750</v>
          </cell>
          <cell r="I50">
            <v>1462.9686071319718</v>
          </cell>
        </row>
        <row r="51">
          <cell r="A51">
            <v>1000</v>
          </cell>
          <cell r="I51">
            <v>1315.9698423577793</v>
          </cell>
        </row>
      </sheetData>
      <sheetData sheetId="11" refreshError="1"/>
      <sheetData sheetId="12">
        <row r="46">
          <cell r="A46">
            <v>0</v>
          </cell>
          <cell r="I46">
            <v>1218.75</v>
          </cell>
        </row>
        <row r="47">
          <cell r="A47">
            <v>100</v>
          </cell>
          <cell r="I47">
            <v>1218.75</v>
          </cell>
        </row>
        <row r="48">
          <cell r="A48">
            <v>250</v>
          </cell>
          <cell r="I48">
            <v>1200</v>
          </cell>
        </row>
        <row r="49">
          <cell r="A49">
            <v>500</v>
          </cell>
          <cell r="I49">
            <v>1218.75</v>
          </cell>
        </row>
        <row r="50">
          <cell r="A50">
            <v>750</v>
          </cell>
          <cell r="I50">
            <v>1180.327868852459</v>
          </cell>
        </row>
        <row r="51">
          <cell r="A51">
            <v>1000</v>
          </cell>
          <cell r="I51">
            <v>1161.2903225806451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persons/person.xml><?xml version="1.0" encoding="utf-8"?>
<personList xmlns="http://schemas.microsoft.com/office/spreadsheetml/2018/threadedcomments" xmlns:x="http://schemas.openxmlformats.org/spreadsheetml/2006/main">
  <person displayName="Blair Boone" id="{5662ED4A-1CAA-4DD0-8F2D-4CB0B1E6B7B2}" userId="bboone@siriuscontrols.com" providerId="PeoplePicker"/>
  <person displayName="Kirby Jabusch" id="{3A62AD75-293A-4460-9393-0C37E8B3BB02}" userId="kjabusch@siriuscontrols.com" providerId="PeoplePicker"/>
  <person displayName="Alex Armstrong" id="{BA8F8E71-D2A1-4411-AA16-F356D0D76012}" userId="alex.armstrong@siriuscontrols.com" providerId="PeoplePicker"/>
  <person displayName="Curtis Jabusch" id="{BAD25A4D-9057-4150-A3E6-F513DFA9C8FA}" userId="S::cjabusch@siriuscontrols.com::1c85fe18-4de5-4baf-a33c-46b7ea41cc7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83" dT="2021-03-16T20:48:17.72" personId="{BAD25A4D-9057-4150-A3E6-F513DFA9C8FA}" id="{17A2133C-D501-4492-9F54-4C05342249A4}">
    <text>@Kirby Jabusch you've got a 'pressure corrected RPM value here calculation baked in to this spreadsheet, however based on how we pulled this data, I believe that we can leave this correction value at '0'</text>
    <mentions>
      <mention mentionpersonId="{3A62AD75-293A-4460-9393-0C37E8B3BB02}" mentionId="{0D3DA9F6-A169-4A6A-8BBC-EDE5C17137B0}" startIndex="0" length="14"/>
    </mentions>
  </threadedComment>
</ThreadedComments>
</file>

<file path=xl/threadedComments/threadedComment10.xml><?xml version="1.0" encoding="utf-8"?>
<ThreadedComments xmlns="http://schemas.microsoft.com/office/spreadsheetml/2018/threadedcomments" xmlns:x="http://schemas.openxmlformats.org/spreadsheetml/2006/main">
  <threadedComment ref="C1" dT="2025-04-03T21:11:12.43" personId="{BAD25A4D-9057-4150-A3E6-F513DFA9C8FA}" id="{3C4A2386-0086-41CE-BD6A-0C9D930CB6ED}">
    <text>@Blair Boone  add tech name and date etc.</text>
    <mentions>
      <mention mentionpersonId="{5662ED4A-1CAA-4DD0-8F2D-4CB0B1E6B7B2}" mentionId="{6189495F-6BE2-48BD-A595-6CFAC5D0E26E}" startIndex="0" length="12"/>
    </mentions>
  </threadedComment>
  <threadedComment ref="B19" dT="2025-04-23T19:19:45.06" personId="{BAD25A4D-9057-4150-A3E6-F513DFA9C8FA}" id="{11C2C313-1756-4FAF-8868-B9261253307F}">
    <text xml:space="preserve">@Alex Armstrong do not change this number. </text>
    <mentions>
      <mention mentionpersonId="{BA8F8E71-D2A1-4411-AA16-F356D0D76012}" mentionId="{7703FACE-E4CB-419A-8A8A-2094CECA86B1}" startIndex="0" length="15"/>
    </mentions>
  </threadedComment>
  <threadedComment ref="B19" dT="2025-04-23T19:20:19.56" personId="{BAD25A4D-9057-4150-A3E6-F513DFA9C8FA}" id="{06452D57-B62F-45BE-8631-85F9B7B08EE0}" parentId="{11C2C313-1756-4FAF-8868-B9261253307F}">
    <text>@Alex Armstrong come see me before you start just to confirm that we agree on the setup</text>
    <mentions>
      <mention mentionpersonId="{BA8F8E71-D2A1-4411-AA16-F356D0D76012}" mentionId="{D9AE0824-153E-4DAA-AC3B-F8290CB3C35C}" startIndex="0" length="15"/>
    </mentions>
  </threadedComment>
  <threadedComment ref="B33" dT="2025-04-08T22:45:06.42" personId="{BAD25A4D-9057-4150-A3E6-F513DFA9C8FA}" id="{98F52DE3-88BF-43E5-A803-FCC93A04A33D}" done="1">
    <text xml:space="preserve">@Alex Armstrong @Blair Boone after a pump rebuild we can check rates and if we are still seeing inconsistincies, we can choose to run test values at 600 rpm to allow us to compare directly against the fusion2 pump. this could make it easier for us to troubleshoot.  </text>
    <mentions>
      <mention mentionpersonId="{BA8F8E71-D2A1-4411-AA16-F356D0D76012}" mentionId="{6A5C3A24-D832-462C-A6F9-4C8206698F05}" startIndex="0" length="15"/>
      <mention mentionpersonId="{5662ED4A-1CAA-4DD0-8F2D-4CB0B1E6B7B2}" mentionId="{072C0DD9-6BE8-4A70-B986-EDFF5C9339D2}" startIndex="16" length="12"/>
    </mentions>
  </threadedComment>
  <threadedComment ref="B84" dT="2021-03-16T20:48:17.72" personId="{BAD25A4D-9057-4150-A3E6-F513DFA9C8FA}" id="{AF1FBAA2-DD3A-452E-A2AD-F425044D1605}">
    <text>@Kirby Jabusch you've got a 'pressure corrected RPM value here calculation baked in to this spreadsheet, however based on how we pulled this data, I believe that we can leave this correction value at '0'</text>
    <mentions>
      <mention mentionpersonId="{3A62AD75-293A-4460-9393-0C37E8B3BB02}" mentionId="{12537DA8-9B25-4EC0-9C4F-AB23823940A6}" startIndex="0" length="14"/>
    </mentions>
  </threadedComment>
</ThreadedComments>
</file>

<file path=xl/threadedComments/threadedComment11.xml><?xml version="1.0" encoding="utf-8"?>
<ThreadedComments xmlns="http://schemas.microsoft.com/office/spreadsheetml/2018/threadedcomments" xmlns:x="http://schemas.openxmlformats.org/spreadsheetml/2006/main">
  <threadedComment ref="C1" dT="2025-04-03T21:11:12.43" personId="{BAD25A4D-9057-4150-A3E6-F513DFA9C8FA}" id="{0ABBCDE4-14EE-4D6A-AE56-4BB3CBA20D12}">
    <text>@Blair Boone  add tech name and date etc.</text>
    <mentions>
      <mention mentionpersonId="{5662ED4A-1CAA-4DD0-8F2D-4CB0B1E6B7B2}" mentionId="{6EA34889-A69D-41EC-A9D0-494A73ACD0FE}" startIndex="0" length="12"/>
    </mentions>
  </threadedComment>
  <threadedComment ref="B19" dT="2025-04-23T19:19:45.06" personId="{BAD25A4D-9057-4150-A3E6-F513DFA9C8FA}" id="{47D70B05-B982-492D-B93E-49A6F9797C35}">
    <text xml:space="preserve">@Alex Armstrong do not change this number. </text>
    <mentions>
      <mention mentionpersonId="{BA8F8E71-D2A1-4411-AA16-F356D0D76012}" mentionId="{DF68B264-5ED9-4B98-B5E4-9593B782EC62}" startIndex="0" length="15"/>
    </mentions>
  </threadedComment>
  <threadedComment ref="B19" dT="2025-04-23T19:20:19.56" personId="{BAD25A4D-9057-4150-A3E6-F513DFA9C8FA}" id="{8611669D-778C-46BC-B9B1-7DC329826662}" parentId="{47D70B05-B982-492D-B93E-49A6F9797C35}">
    <text>@Alex Armstrong come see me before you start just to confirm that we agree on the setup</text>
    <mentions>
      <mention mentionpersonId="{BA8F8E71-D2A1-4411-AA16-F356D0D76012}" mentionId="{0EAD627F-9FB7-4D9A-B06D-30FDE40471FF}" startIndex="0" length="15"/>
    </mentions>
  </threadedComment>
  <threadedComment ref="B33" dT="2025-04-08T22:45:06.42" personId="{BAD25A4D-9057-4150-A3E6-F513DFA9C8FA}" id="{F5F7820B-8D2D-4EC4-8217-3B23C3818EAE}" done="1">
    <text xml:space="preserve">@Alex Armstrong @Blair Boone after a pump rebuild we can check rates and if we are still seeing inconsistincies, we can choose to run test values at 600 rpm to allow us to compare directly against the fusion2 pump. this could make it easier for us to troubleshoot.  </text>
    <mentions>
      <mention mentionpersonId="{BA8F8E71-D2A1-4411-AA16-F356D0D76012}" mentionId="{3D0C511E-1231-40C9-A998-13386E31E4DA}" startIndex="0" length="15"/>
      <mention mentionpersonId="{5662ED4A-1CAA-4DD0-8F2D-4CB0B1E6B7B2}" mentionId="{093D81D8-A73C-45F1-8CB0-297704F9A684}" startIndex="16" length="12"/>
    </mentions>
  </threadedComment>
  <threadedComment ref="B84" dT="2021-03-16T20:48:17.72" personId="{BAD25A4D-9057-4150-A3E6-F513DFA9C8FA}" id="{A4FF2EC7-B46F-4406-864F-FD91EC9E8651}">
    <text>@Kirby Jabusch you've got a 'pressure corrected RPM value here calculation baked in to this spreadsheet, however based on how we pulled this data, I believe that we can leave this correction value at '0'</text>
    <mentions>
      <mention mentionpersonId="{3A62AD75-293A-4460-9393-0C37E8B3BB02}" mentionId="{0467751F-46EA-4E2C-ACC0-C4B1D4FC5D0C}" startIndex="0" length="14"/>
    </mentions>
  </threadedComment>
</ThreadedComments>
</file>

<file path=xl/threadedComments/threadedComment12.xml><?xml version="1.0" encoding="utf-8"?>
<ThreadedComments xmlns="http://schemas.microsoft.com/office/spreadsheetml/2018/threadedcomments" xmlns:x="http://schemas.openxmlformats.org/spreadsheetml/2006/main">
  <threadedComment ref="C1" dT="2025-04-03T21:11:12.43" personId="{BAD25A4D-9057-4150-A3E6-F513DFA9C8FA}" id="{BE40ECF5-7A55-44E6-931D-5A9997C9780F}">
    <text>@Blair Boone  add tech name and date etc.</text>
    <mentions>
      <mention mentionpersonId="{5662ED4A-1CAA-4DD0-8F2D-4CB0B1E6B7B2}" mentionId="{1FE56A5C-42D7-4E84-961B-8E9F2DB97B63}" startIndex="0" length="12"/>
    </mentions>
  </threadedComment>
  <threadedComment ref="B19" dT="2025-04-23T19:19:45.06" personId="{BAD25A4D-9057-4150-A3E6-F513DFA9C8FA}" id="{FA90FADC-E796-4E58-BA48-2D6C30E08355}">
    <text xml:space="preserve">@Alex Armstrong do not change this number. </text>
    <mentions>
      <mention mentionpersonId="{BA8F8E71-D2A1-4411-AA16-F356D0D76012}" mentionId="{D728A51D-39B4-4C6E-B288-82E7B015ACF7}" startIndex="0" length="15"/>
    </mentions>
  </threadedComment>
  <threadedComment ref="B19" dT="2025-04-23T19:20:19.56" personId="{BAD25A4D-9057-4150-A3E6-F513DFA9C8FA}" id="{1CE43634-54E6-4236-B94C-64E46181FE81}" parentId="{FA90FADC-E796-4E58-BA48-2D6C30E08355}">
    <text>@Alex Armstrong come see me before you start just to confirm that we agree on the setup</text>
    <mentions>
      <mention mentionpersonId="{BA8F8E71-D2A1-4411-AA16-F356D0D76012}" mentionId="{E274503F-3623-4CAF-86E3-5C4E98125A26}" startIndex="0" length="15"/>
    </mentions>
  </threadedComment>
  <threadedComment ref="B33" dT="2025-04-08T22:45:06.42" personId="{BAD25A4D-9057-4150-A3E6-F513DFA9C8FA}" id="{5266800A-29F5-473E-BFCF-DD0EB78CAA91}" done="1">
    <text xml:space="preserve">@Alex Armstrong @Blair Boone after a pump rebuild we can check rates and if we are still seeing inconsistincies, we can choose to run test values at 600 rpm to allow us to compare directly against the fusion2 pump. this could make it easier for us to troubleshoot.  </text>
    <mentions>
      <mention mentionpersonId="{BA8F8E71-D2A1-4411-AA16-F356D0D76012}" mentionId="{9776B9CA-14A5-4F92-8A6B-C84655182241}" startIndex="0" length="15"/>
      <mention mentionpersonId="{5662ED4A-1CAA-4DD0-8F2D-4CB0B1E6B7B2}" mentionId="{B6E97C99-9FD6-4F5D-AC06-00597BF8975C}" startIndex="16" length="12"/>
    </mentions>
  </threadedComment>
  <threadedComment ref="B84" dT="2021-03-16T20:48:17.72" personId="{BAD25A4D-9057-4150-A3E6-F513DFA9C8FA}" id="{F4E3CD4D-1FD9-46C9-B1F4-A4F63042F46A}">
    <text>@Kirby Jabusch you've got a 'pressure corrected RPM value here calculation baked in to this spreadsheet, however based on how we pulled this data, I believe that we can leave this correction value at '0'</text>
    <mentions>
      <mention mentionpersonId="{3A62AD75-293A-4460-9393-0C37E8B3BB02}" mentionId="{4EF63A71-A1A7-4538-82D5-07AABF00093B}" startIndex="0" length="14"/>
    </mentions>
  </threadedComment>
</ThreadedComments>
</file>

<file path=xl/threadedComments/threadedComment13.xml><?xml version="1.0" encoding="utf-8"?>
<ThreadedComments xmlns="http://schemas.microsoft.com/office/spreadsheetml/2018/threadedcomments" xmlns:x="http://schemas.openxmlformats.org/spreadsheetml/2006/main">
  <threadedComment ref="C1" dT="2025-04-03T21:11:12.43" personId="{BAD25A4D-9057-4150-A3E6-F513DFA9C8FA}" id="{296BFFAD-1017-4FAF-B8F8-D2669E0F49D7}">
    <text>@Blair Boone  add tech name and date etc.</text>
    <mentions>
      <mention mentionpersonId="{5662ED4A-1CAA-4DD0-8F2D-4CB0B1E6B7B2}" mentionId="{CE2EE157-5EE3-42E8-A753-5420E45018DF}" startIndex="0" length="12"/>
    </mentions>
  </threadedComment>
  <threadedComment ref="B19" dT="2025-04-23T19:19:45.06" personId="{BAD25A4D-9057-4150-A3E6-F513DFA9C8FA}" id="{3A42C12F-BBF1-4977-AF13-4438C353D65C}">
    <text xml:space="preserve">@Alex Armstrong do not change this number. </text>
    <mentions>
      <mention mentionpersonId="{BA8F8E71-D2A1-4411-AA16-F356D0D76012}" mentionId="{3BB1710A-BB45-4C60-A6A8-81A1601C64FC}" startIndex="0" length="15"/>
    </mentions>
  </threadedComment>
  <threadedComment ref="B19" dT="2025-04-23T19:20:19.56" personId="{BAD25A4D-9057-4150-A3E6-F513DFA9C8FA}" id="{FDBE4106-E547-434B-836D-F63E32F7BA9E}" parentId="{3A42C12F-BBF1-4977-AF13-4438C353D65C}">
    <text>@Alex Armstrong come see me before you start just to confirm that we agree on the setup</text>
    <mentions>
      <mention mentionpersonId="{BA8F8E71-D2A1-4411-AA16-F356D0D76012}" mentionId="{6F210113-5081-434C-9485-57E328FC8157}" startIndex="0" length="15"/>
    </mentions>
  </threadedComment>
  <threadedComment ref="B33" dT="2025-04-08T22:45:06.42" personId="{BAD25A4D-9057-4150-A3E6-F513DFA9C8FA}" id="{A7CE1B54-F312-4AA6-B172-705A1C03C7BD}" done="1">
    <text xml:space="preserve">@Alex Armstrong @Blair Boone after a pump rebuild we can check rates and if we are still seeing inconsistincies, we can choose to run test values at 600 rpm to allow us to compare directly against the fusion2 pump. this could make it easier for us to troubleshoot.  </text>
    <mentions>
      <mention mentionpersonId="{BA8F8E71-D2A1-4411-AA16-F356D0D76012}" mentionId="{1DA504C1-7B32-46DD-AAB7-43534109C3E8}" startIndex="0" length="15"/>
      <mention mentionpersonId="{5662ED4A-1CAA-4DD0-8F2D-4CB0B1E6B7B2}" mentionId="{06E7F5CC-DA0C-4F29-A109-59D48B8912BE}" startIndex="16" length="12"/>
    </mentions>
  </threadedComment>
  <threadedComment ref="B84" dT="2021-03-16T20:48:17.72" personId="{BAD25A4D-9057-4150-A3E6-F513DFA9C8FA}" id="{5C1994D9-3D92-44AC-93F4-EA0958F9ABE1}">
    <text>@Kirby Jabusch you've got a 'pressure corrected RPM value here calculation baked in to this spreadsheet, however based on how we pulled this data, I believe that we can leave this correction value at '0'</text>
    <mentions>
      <mention mentionpersonId="{3A62AD75-293A-4460-9393-0C37E8B3BB02}" mentionId="{4094C802-F929-4FC9-86ED-144DA73D7FB3}" startIndex="0" length="14"/>
    </mentions>
  </threadedComment>
</ThreadedComments>
</file>

<file path=xl/threadedComments/threadedComment14.xml><?xml version="1.0" encoding="utf-8"?>
<ThreadedComments xmlns="http://schemas.microsoft.com/office/spreadsheetml/2018/threadedcomments" xmlns:x="http://schemas.openxmlformats.org/spreadsheetml/2006/main">
  <threadedComment ref="C1" dT="2025-04-03T21:11:12.43" personId="{BAD25A4D-9057-4150-A3E6-F513DFA9C8FA}" id="{8C2978B8-F512-4F15-A1DA-9529A4E9E01C}">
    <text>@Blair Boone  add tech name and date etc.</text>
    <mentions>
      <mention mentionpersonId="{5662ED4A-1CAA-4DD0-8F2D-4CB0B1E6B7B2}" mentionId="{B968F766-345B-44EC-92D2-23643D358EF7}" startIndex="0" length="12"/>
    </mentions>
  </threadedComment>
  <threadedComment ref="B19" dT="2025-04-23T19:19:45.06" personId="{BAD25A4D-9057-4150-A3E6-F513DFA9C8FA}" id="{84B095D3-4CE9-4931-8E31-ADE941DCC9FC}">
    <text xml:space="preserve">@Alex Armstrong do not change this number. </text>
    <mentions>
      <mention mentionpersonId="{BA8F8E71-D2A1-4411-AA16-F356D0D76012}" mentionId="{DFBBCEE2-E0B5-4570-8FC2-1ADFADC984AD}" startIndex="0" length="15"/>
    </mentions>
  </threadedComment>
  <threadedComment ref="B19" dT="2025-04-23T19:20:19.56" personId="{BAD25A4D-9057-4150-A3E6-F513DFA9C8FA}" id="{1376C79D-CC00-4B3F-A318-D7EF6E4A3F93}" parentId="{84B095D3-4CE9-4931-8E31-ADE941DCC9FC}">
    <text>@Alex Armstrong come see me before you start just to confirm that we agree on the setup</text>
    <mentions>
      <mention mentionpersonId="{BA8F8E71-D2A1-4411-AA16-F356D0D76012}" mentionId="{50EC8C84-DAAE-4C27-9A27-E30F11514CA9}" startIndex="0" length="15"/>
    </mentions>
  </threadedComment>
  <threadedComment ref="B33" dT="2025-04-08T22:45:06.42" personId="{BAD25A4D-9057-4150-A3E6-F513DFA9C8FA}" id="{EF121FB7-21A3-47B9-9917-A0F719C1696A}" done="1">
    <text xml:space="preserve">@Alex Armstrong @Blair Boone after a pump rebuild we can check rates and if we are still seeing inconsistincies, we can choose to run test values at 600 rpm to allow us to compare directly against the fusion2 pump. this could make it easier for us to troubleshoot.  </text>
    <mentions>
      <mention mentionpersonId="{BA8F8E71-D2A1-4411-AA16-F356D0D76012}" mentionId="{4CB4AA0B-96E0-4740-B38B-428AD862D0E6}" startIndex="0" length="15"/>
      <mention mentionpersonId="{5662ED4A-1CAA-4DD0-8F2D-4CB0B1E6B7B2}" mentionId="{98345E0F-8E51-4D7D-9D5E-68998B3A8199}" startIndex="16" length="12"/>
    </mentions>
  </threadedComment>
  <threadedComment ref="B84" dT="2021-03-16T20:48:17.72" personId="{BAD25A4D-9057-4150-A3E6-F513DFA9C8FA}" id="{745ECC7F-DB3C-4DF4-B7CD-8C39F8D419D8}">
    <text>@Kirby Jabusch you've got a 'pressure corrected RPM value here calculation baked in to this spreadsheet, however based on how we pulled this data, I believe that we can leave this correction value at '0'</text>
    <mentions>
      <mention mentionpersonId="{3A62AD75-293A-4460-9393-0C37E8B3BB02}" mentionId="{A7E0A5F5-6D04-4559-8DA4-4677C7EBA1ED}" startIndex="0" length="14"/>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B83" dT="2021-03-16T20:48:17.72" personId="{BAD25A4D-9057-4150-A3E6-F513DFA9C8FA}" id="{EB997F03-26EB-49EC-9FF3-5B9896F5D892}">
    <text>@Kirby Jabusch you've got a 'pressure corrected RPM value here calculation baked in to this spreadsheet, however based on how we pulled this data, I believe that we can leave this correction value at '0'</text>
    <mentions>
      <mention mentionpersonId="{3A62AD75-293A-4460-9393-0C37E8B3BB02}" mentionId="{D85F3129-B92C-4C11-B5E5-CBC325AE3BA7}" startIndex="0" length="14"/>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B83" dT="2021-03-16T20:48:17.72" personId="{BAD25A4D-9057-4150-A3E6-F513DFA9C8FA}" id="{94504365-9653-4172-AB8F-24FC2B6B5267}">
    <text>@Kirby Jabusch you've got a 'pressure corrected RPM value here calculation baked in to this spreadsheet, however based on how we pulled this data, I believe that we can leave this correction value at '0'</text>
    <mentions>
      <mention mentionpersonId="{3A62AD75-293A-4460-9393-0C37E8B3BB02}" mentionId="{D075EC09-B056-4D98-BD81-D8B5883DBAA9}" startIndex="0" length="14"/>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B83" dT="2021-03-16T20:48:17.72" personId="{BAD25A4D-9057-4150-A3E6-F513DFA9C8FA}" id="{4BD438D7-C780-4A43-8687-5B577556FCC2}">
    <text>@Kirby Jabusch you've got a 'pressure corrected RPM value here calculation baked in to this spreadsheet, however based on how we pulled this data, I believe that we can leave this correction value at '0'</text>
    <mentions>
      <mention mentionpersonId="{3A62AD75-293A-4460-9393-0C37E8B3BB02}" mentionId="{4AF8E0D8-C751-46E8-8137-7B677989E369}" startIndex="0" length="14"/>
    </mentions>
  </threadedComment>
</ThreadedComments>
</file>

<file path=xl/threadedComments/threadedComment5.xml><?xml version="1.0" encoding="utf-8"?>
<ThreadedComments xmlns="http://schemas.microsoft.com/office/spreadsheetml/2018/threadedcomments" xmlns:x="http://schemas.openxmlformats.org/spreadsheetml/2006/main">
  <threadedComment ref="B83" dT="2021-03-16T20:48:17.72" personId="{BAD25A4D-9057-4150-A3E6-F513DFA9C8FA}" id="{B13B4054-B929-41C2-A5E9-CC3C9D06B592}">
    <text>@Kirby Jabusch you've got a 'pressure corrected RPM value here calculation baked in to this spreadsheet, however based on how we pulled this data, I believe that we can leave this correction value at '0'</text>
    <mentions>
      <mention mentionpersonId="{3A62AD75-293A-4460-9393-0C37E8B3BB02}" mentionId="{80381B7F-CA1E-4A68-A7F4-079ABBC1ADF6}" startIndex="0" length="14"/>
    </mentions>
  </threadedComment>
</ThreadedComments>
</file>

<file path=xl/threadedComments/threadedComment6.xml><?xml version="1.0" encoding="utf-8"?>
<ThreadedComments xmlns="http://schemas.microsoft.com/office/spreadsheetml/2018/threadedcomments" xmlns:x="http://schemas.openxmlformats.org/spreadsheetml/2006/main">
  <threadedComment ref="B83" dT="2021-03-16T20:48:17.72" personId="{BAD25A4D-9057-4150-A3E6-F513DFA9C8FA}" id="{70142F51-C0B2-46F8-BFFE-40C5CD8DBC06}">
    <text>@Kirby Jabusch you've got a 'pressure corrected RPM value here calculation baked in to this spreadsheet, however based on how we pulled this data, I believe that we can leave this correction value at '0'</text>
    <mentions>
      <mention mentionpersonId="{3A62AD75-293A-4460-9393-0C37E8B3BB02}" mentionId="{C6977D4C-4AC8-436B-8EB5-E4E4E3DFC9DB}" startIndex="0" length="14"/>
    </mentions>
  </threadedComment>
</ThreadedComments>
</file>

<file path=xl/threadedComments/threadedComment7.xml><?xml version="1.0" encoding="utf-8"?>
<ThreadedComments xmlns="http://schemas.microsoft.com/office/spreadsheetml/2018/threadedcomments" xmlns:x="http://schemas.openxmlformats.org/spreadsheetml/2006/main">
  <threadedComment ref="B83" dT="2021-03-16T20:48:17.72" personId="{BAD25A4D-9057-4150-A3E6-F513DFA9C8FA}" id="{250F3813-0FBC-42C5-86AE-D3E5D5D87521}">
    <text>@Kirby Jabusch you've got a 'pressure corrected RPM value here calculation baked in to this spreadsheet, however based on how we pulled this data, I believe that we can leave this correction value at '0'</text>
    <mentions>
      <mention mentionpersonId="{3A62AD75-293A-4460-9393-0C37E8B3BB02}" mentionId="{6C353228-67A4-40F5-9FD8-1C9FE323DBAF}" startIndex="0" length="14"/>
    </mentions>
  </threadedComment>
</ThreadedComments>
</file>

<file path=xl/threadedComments/threadedComment8.xml><?xml version="1.0" encoding="utf-8"?>
<ThreadedComments xmlns="http://schemas.microsoft.com/office/spreadsheetml/2018/threadedcomments" xmlns:x="http://schemas.openxmlformats.org/spreadsheetml/2006/main">
  <threadedComment ref="B83" dT="2021-03-16T20:48:17.72" personId="{BAD25A4D-9057-4150-A3E6-F513DFA9C8FA}" id="{737DA1D9-03A5-4C09-958B-FC88E5CF4BC7}">
    <text>@Kirby Jabusch you've got a 'pressure corrected RPM value here calculation baked in to this spreadsheet, however based on how we pulled this data, I believe that we can leave this correction value at '0'</text>
    <mentions>
      <mention mentionpersonId="{3A62AD75-293A-4460-9393-0C37E8B3BB02}" mentionId="{0247CC43-5226-4034-96D7-97CEB3A16E53}" startIndex="0" length="14"/>
    </mentions>
  </threadedComment>
</ThreadedComments>
</file>

<file path=xl/threadedComments/threadedComment9.xml><?xml version="1.0" encoding="utf-8"?>
<ThreadedComments xmlns="http://schemas.microsoft.com/office/spreadsheetml/2018/threadedcomments" xmlns:x="http://schemas.openxmlformats.org/spreadsheetml/2006/main">
  <threadedComment ref="B83" dT="2021-03-16T20:48:17.72" personId="{BAD25A4D-9057-4150-A3E6-F513DFA9C8FA}" id="{AC5B2F9C-3619-4615-800A-57F8E6036FB7}">
    <text>@Kirby Jabusch you've got a 'pressure corrected RPM value here calculation baked in to this spreadsheet, however based on how we pulled this data, I believe that we can leave this correction value at '0'</text>
    <mentions>
      <mention mentionpersonId="{3A62AD75-293A-4460-9393-0C37E8B3BB02}" mentionId="{D5CEE834-EAEA-4423-BFE5-90AE112F107D}" startIndex="0" length="14"/>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microsoft.com/office/2017/10/relationships/threadedComment" Target="../threadedComments/threadedComment8.xml"/><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 Id="rId4" Type="http://schemas.microsoft.com/office/2017/10/relationships/threadedComment" Target="../threadedComments/threadedComment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4.bin"/><Relationship Id="rId5" Type="http://schemas.microsoft.com/office/2017/10/relationships/threadedComment" Target="../threadedComments/threadedComment10.xml"/><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5.bin"/><Relationship Id="rId5" Type="http://schemas.microsoft.com/office/2017/10/relationships/threadedComment" Target="../threadedComments/threadedComment11.xml"/><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16.bin"/><Relationship Id="rId5" Type="http://schemas.microsoft.com/office/2017/10/relationships/threadedComment" Target="../threadedComments/threadedComment12.xml"/><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2.xml"/><Relationship Id="rId1" Type="http://schemas.openxmlformats.org/officeDocument/2006/relationships/printerSettings" Target="../printerSettings/printerSettings17.bin"/><Relationship Id="rId5" Type="http://schemas.microsoft.com/office/2017/10/relationships/threadedComment" Target="../threadedComments/threadedComment13.xml"/><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3.xml"/><Relationship Id="rId1" Type="http://schemas.openxmlformats.org/officeDocument/2006/relationships/printerSettings" Target="../printerSettings/printerSettings18.bin"/><Relationship Id="rId5" Type="http://schemas.microsoft.com/office/2017/10/relationships/threadedComment" Target="../threadedComments/threadedComment14.xml"/><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rredc.nrel.gov/solar/pubs/redbook/" TargetMode="External"/><Relationship Id="rId7" Type="http://schemas.openxmlformats.org/officeDocument/2006/relationships/hyperlink" Target="https://fgp-pgf.maps.arcgis.com/apps/webappviewer/index.html?id=c91106a7d8c446a19dd1909fd93645d3" TargetMode="External"/><Relationship Id="rId2" Type="http://schemas.openxmlformats.org/officeDocument/2006/relationships/hyperlink" Target="http://198.103.48.154/fichier.php/codectec/Fr/2006-046/2006-046_OP-J_411-SOLRES_PV+map.pdf" TargetMode="External"/><Relationship Id="rId1" Type="http://schemas.openxmlformats.org/officeDocument/2006/relationships/hyperlink" Target="https://glfc.cfsnet.nfis.org/mapserver/pv/municip.php?n=720&amp;NEK=e" TargetMode="External"/><Relationship Id="rId6" Type="http://schemas.openxmlformats.org/officeDocument/2006/relationships/hyperlink" Target="https://www.nrcan.gc.ca/energy/energy-sources-distribution/renewables/solar-photovoltaic-energy/solar-resource-data-available-canada/14390" TargetMode="External"/><Relationship Id="rId5" Type="http://schemas.openxmlformats.org/officeDocument/2006/relationships/hyperlink" Target="https://weatherspark.com/m/2795/1/Average-Weather-in-January-in-Fort-McMurray-Canada" TargetMode="External"/><Relationship Id="rId4" Type="http://schemas.openxmlformats.org/officeDocument/2006/relationships/hyperlink" Target="http://pv.nrcan.gc.ca/index.php?n=720&amp;m=u&amp;lang=e"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microsoft.com/office/2017/10/relationships/threadedComment" Target="../threadedComments/threadedComment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sheetPr>
  <dimension ref="B2:AK104"/>
  <sheetViews>
    <sheetView showGridLines="0" tabSelected="1" topLeftCell="A6" workbookViewId="0">
      <selection activeCell="G11" sqref="G11"/>
    </sheetView>
  </sheetViews>
  <sheetFormatPr defaultColWidth="8.85546875" defaultRowHeight="12.75" x14ac:dyDescent="0.2"/>
  <cols>
    <col min="2" max="2" width="2.140625" customWidth="1"/>
    <col min="3" max="3" width="1.7109375" customWidth="1"/>
    <col min="4" max="4" width="1" customWidth="1"/>
    <col min="5" max="5" width="1.140625" customWidth="1"/>
    <col min="6" max="6" width="44.85546875" customWidth="1"/>
    <col min="8" max="8" width="2.42578125" customWidth="1"/>
    <col min="9" max="9" width="25.140625" customWidth="1"/>
    <col min="10" max="10" width="1.140625" customWidth="1"/>
    <col min="11" max="11" width="1" customWidth="1"/>
    <col min="12" max="12" width="1.7109375" customWidth="1"/>
    <col min="13" max="13" width="2.140625" customWidth="1"/>
    <col min="14" max="14" width="1.7109375" customWidth="1"/>
    <col min="15" max="15" width="8.85546875" customWidth="1"/>
    <col min="16" max="16" width="34.28515625" hidden="1" customWidth="1"/>
    <col min="17" max="17" width="27.7109375" hidden="1" customWidth="1"/>
    <col min="18" max="18" width="12.7109375" hidden="1" customWidth="1"/>
    <col min="19" max="19" width="20.85546875" hidden="1" customWidth="1"/>
    <col min="20" max="20" width="14.140625" hidden="1" customWidth="1"/>
    <col min="21" max="21" width="16.28515625" hidden="1" customWidth="1"/>
    <col min="22" max="22" width="8.85546875" hidden="1" customWidth="1"/>
    <col min="23" max="23" width="16.7109375" hidden="1" customWidth="1"/>
    <col min="24" max="24" width="8.85546875" hidden="1" customWidth="1"/>
    <col min="25" max="26" width="20.28515625" hidden="1" customWidth="1"/>
    <col min="27" max="27" width="8.85546875" hidden="1" customWidth="1"/>
    <col min="28" max="36" width="8.85546875" customWidth="1"/>
    <col min="37" max="52" width="0" hidden="1" customWidth="1"/>
  </cols>
  <sheetData>
    <row r="2" spans="2:37" ht="10.5" customHeight="1" x14ac:dyDescent="0.2">
      <c r="B2" s="189"/>
      <c r="C2" s="189"/>
      <c r="D2" s="189"/>
      <c r="E2" s="189"/>
      <c r="F2" s="189"/>
      <c r="G2" s="189"/>
      <c r="H2" s="189"/>
      <c r="I2" s="189"/>
      <c r="J2" s="189"/>
      <c r="K2" s="189"/>
      <c r="L2" s="189"/>
      <c r="M2" s="189"/>
      <c r="N2" s="21"/>
      <c r="O2" s="21"/>
      <c r="P2" s="21"/>
      <c r="Q2" s="21"/>
      <c r="R2" s="21"/>
      <c r="S2" s="21"/>
      <c r="T2" s="21"/>
      <c r="U2" s="21"/>
      <c r="V2" s="21"/>
      <c r="W2" s="21"/>
      <c r="X2" s="21"/>
      <c r="Y2" s="21"/>
      <c r="Z2" s="21"/>
      <c r="AA2" s="21"/>
      <c r="AB2" s="21"/>
      <c r="AC2" s="21"/>
      <c r="AD2" s="21"/>
      <c r="AE2" s="21"/>
      <c r="AF2" s="21"/>
    </row>
    <row r="3" spans="2:37" ht="7.5" customHeight="1" x14ac:dyDescent="0.2">
      <c r="B3" s="189"/>
      <c r="C3" s="20"/>
      <c r="D3" s="20"/>
      <c r="E3" s="20"/>
      <c r="F3" s="20"/>
      <c r="G3" s="20"/>
      <c r="H3" s="20"/>
      <c r="I3" s="20"/>
      <c r="J3" s="20"/>
      <c r="K3" s="20"/>
      <c r="L3" s="20"/>
      <c r="M3" s="189"/>
      <c r="N3" s="21"/>
    </row>
    <row r="4" spans="2:37" ht="6" customHeight="1" x14ac:dyDescent="0.2">
      <c r="B4" s="189"/>
      <c r="C4" s="20"/>
      <c r="D4" s="1"/>
      <c r="E4" s="1"/>
      <c r="F4" s="1"/>
      <c r="G4" s="1"/>
      <c r="H4" s="1"/>
      <c r="I4" s="1"/>
      <c r="J4" s="1"/>
      <c r="K4" s="1"/>
      <c r="L4" s="20"/>
      <c r="M4" s="189"/>
      <c r="N4" s="21"/>
    </row>
    <row r="5" spans="2:37" ht="63.75" customHeight="1" x14ac:dyDescent="0.2">
      <c r="B5" s="189"/>
      <c r="C5" s="20"/>
      <c r="D5" s="1"/>
      <c r="I5" s="2" t="s">
        <v>0</v>
      </c>
      <c r="K5" s="1"/>
      <c r="L5" s="20"/>
      <c r="M5" s="189"/>
      <c r="N5" s="21"/>
      <c r="AK5" t="s">
        <v>1</v>
      </c>
    </row>
    <row r="6" spans="2:37" ht="13.5" customHeight="1" x14ac:dyDescent="0.3">
      <c r="B6" s="189"/>
      <c r="C6" s="20"/>
      <c r="D6" s="1"/>
      <c r="E6" s="22"/>
      <c r="F6" s="23"/>
      <c r="G6" s="22"/>
      <c r="H6" s="22"/>
      <c r="I6" s="22"/>
      <c r="J6" s="22"/>
      <c r="K6" s="1"/>
      <c r="L6" s="20"/>
      <c r="M6" s="189"/>
      <c r="N6" s="21"/>
    </row>
    <row r="7" spans="2:37" ht="9" customHeight="1" thickBot="1" x14ac:dyDescent="0.25">
      <c r="B7" s="189"/>
      <c r="C7" s="20"/>
      <c r="D7" s="1"/>
      <c r="F7" s="3"/>
      <c r="G7" s="4"/>
      <c r="H7" s="4"/>
      <c r="I7" s="4"/>
      <c r="J7" s="4"/>
      <c r="K7" s="5"/>
      <c r="L7" s="20"/>
      <c r="M7" s="189"/>
      <c r="N7" s="21"/>
    </row>
    <row r="8" spans="2:37" ht="13.5" thickBot="1" x14ac:dyDescent="0.25">
      <c r="B8" s="189"/>
      <c r="C8" s="20"/>
      <c r="D8" s="1"/>
      <c r="F8" s="169" t="s">
        <v>2</v>
      </c>
      <c r="I8" s="155" t="s">
        <v>3</v>
      </c>
      <c r="K8" s="1"/>
      <c r="L8" s="20"/>
      <c r="M8" s="189"/>
      <c r="N8" s="21"/>
      <c r="P8" s="154" t="s">
        <v>4</v>
      </c>
    </row>
    <row r="9" spans="2:37" ht="13.5" thickBot="1" x14ac:dyDescent="0.25">
      <c r="B9" s="189"/>
      <c r="C9" s="20"/>
      <c r="D9" s="1"/>
      <c r="F9" s="156" t="s">
        <v>5</v>
      </c>
      <c r="G9" s="366" t="s">
        <v>258</v>
      </c>
      <c r="H9" s="367"/>
      <c r="I9" s="368"/>
      <c r="K9" s="1"/>
      <c r="L9" s="20"/>
      <c r="M9" s="189"/>
      <c r="N9" s="21"/>
      <c r="AK9">
        <v>20</v>
      </c>
    </row>
    <row r="10" spans="2:37" ht="13.5" thickBot="1" x14ac:dyDescent="0.25">
      <c r="B10" s="189"/>
      <c r="C10" s="20"/>
      <c r="D10" s="1"/>
      <c r="F10" s="89" t="s">
        <v>7</v>
      </c>
      <c r="G10" s="99">
        <v>0</v>
      </c>
      <c r="H10" s="369" t="s">
        <v>441</v>
      </c>
      <c r="I10" s="370"/>
      <c r="K10" s="1"/>
      <c r="L10" s="20"/>
      <c r="M10" s="189"/>
      <c r="N10" s="21"/>
      <c r="AK10">
        <v>30</v>
      </c>
    </row>
    <row r="11" spans="2:37" ht="13.5" thickBot="1" x14ac:dyDescent="0.25">
      <c r="B11" s="189"/>
      <c r="C11" s="20"/>
      <c r="D11" s="1"/>
      <c r="F11" s="89" t="s">
        <v>9</v>
      </c>
      <c r="G11" s="92">
        <v>100</v>
      </c>
      <c r="H11" s="364" t="s">
        <v>28</v>
      </c>
      <c r="I11" s="365"/>
      <c r="K11" s="1"/>
      <c r="L11" s="20"/>
      <c r="M11" s="189"/>
      <c r="N11" s="21"/>
      <c r="P11" s="24" t="s">
        <v>11</v>
      </c>
      <c r="AK11">
        <v>40</v>
      </c>
    </row>
    <row r="12" spans="2:37" ht="13.5" thickBot="1" x14ac:dyDescent="0.25">
      <c r="B12" s="189"/>
      <c r="C12" s="20"/>
      <c r="D12" s="1"/>
      <c r="F12" s="89" t="s">
        <v>12</v>
      </c>
      <c r="G12" s="366" t="s">
        <v>193</v>
      </c>
      <c r="H12" s="373"/>
      <c r="I12" s="374"/>
      <c r="K12" s="1"/>
      <c r="L12" s="20"/>
      <c r="M12" s="189"/>
      <c r="N12" s="21"/>
      <c r="P12" s="24">
        <f>G11*$R$31</f>
        <v>100</v>
      </c>
      <c r="Q12" s="24"/>
      <c r="R12" s="97" t="s">
        <v>13</v>
      </c>
      <c r="S12" s="97" t="s">
        <v>13</v>
      </c>
      <c r="T12" s="97"/>
      <c r="U12" s="97"/>
      <c r="V12" s="97"/>
      <c r="X12" s="91" t="s">
        <v>14</v>
      </c>
      <c r="AK12">
        <v>50</v>
      </c>
    </row>
    <row r="13" spans="2:37" ht="13.5" thickBot="1" x14ac:dyDescent="0.25">
      <c r="B13" s="189"/>
      <c r="C13" s="20"/>
      <c r="D13" s="1"/>
      <c r="F13" s="89" t="s">
        <v>15</v>
      </c>
      <c r="G13" s="157">
        <v>0</v>
      </c>
      <c r="H13" s="162"/>
      <c r="I13" s="114" t="s">
        <v>16</v>
      </c>
      <c r="K13" s="1"/>
      <c r="L13" s="20"/>
      <c r="M13" s="189"/>
      <c r="N13" s="21"/>
      <c r="Q13" s="97" t="s">
        <v>17</v>
      </c>
      <c r="R13" s="97" t="s">
        <v>18</v>
      </c>
      <c r="S13" s="97" t="s">
        <v>19</v>
      </c>
      <c r="T13" s="97" t="s">
        <v>20</v>
      </c>
      <c r="U13" s="97" t="s">
        <v>21</v>
      </c>
      <c r="V13" s="97" t="s">
        <v>22</v>
      </c>
      <c r="W13" s="113" t="s">
        <v>23</v>
      </c>
      <c r="X13" s="113" t="s">
        <v>24</v>
      </c>
      <c r="Y13" s="113" t="s">
        <v>25</v>
      </c>
      <c r="AK13">
        <v>55</v>
      </c>
    </row>
    <row r="14" spans="2:37" ht="13.5" thickBot="1" x14ac:dyDescent="0.25">
      <c r="B14" s="189"/>
      <c r="C14" s="20"/>
      <c r="D14" s="1"/>
      <c r="F14" s="89" t="s">
        <v>26</v>
      </c>
      <c r="G14" s="157" t="s">
        <v>27</v>
      </c>
      <c r="H14" s="21"/>
      <c r="I14" s="114" t="s">
        <v>16</v>
      </c>
      <c r="K14" s="1"/>
      <c r="L14" s="20"/>
      <c r="M14" s="189"/>
      <c r="N14" s="21"/>
      <c r="P14" s="97" t="s">
        <v>7</v>
      </c>
      <c r="Q14" s="158"/>
      <c r="R14" s="97"/>
      <c r="S14" s="97"/>
      <c r="T14" s="97"/>
      <c r="U14" s="97"/>
      <c r="V14" s="97"/>
      <c r="X14" s="91" t="s">
        <v>28</v>
      </c>
      <c r="AK14">
        <v>80</v>
      </c>
    </row>
    <row r="15" spans="2:37" ht="13.9" customHeight="1" thickBot="1" x14ac:dyDescent="0.25">
      <c r="B15" s="189"/>
      <c r="C15" s="20"/>
      <c r="D15" s="1"/>
      <c r="F15" s="89" t="s">
        <v>29</v>
      </c>
      <c r="G15" s="157" t="s">
        <v>27</v>
      </c>
      <c r="H15" s="21"/>
      <c r="I15" s="114" t="s">
        <v>30</v>
      </c>
      <c r="K15" s="1"/>
      <c r="L15" s="20"/>
      <c r="M15" s="189"/>
      <c r="N15" s="21"/>
      <c r="P15" s="160">
        <f>IF(H10="PSI",G10,G10/P16)</f>
        <v>0</v>
      </c>
      <c r="Q15" s="159" t="str">
        <f>G12</f>
        <v>FUSION3 500, SH, 24 VDC</v>
      </c>
      <c r="R15" s="24">
        <f>VLOOKUP($Q$15,'CalData-FUS'!B3:J28,4,FALSE)</f>
        <v>486.74663231837553</v>
      </c>
      <c r="S15" s="24">
        <f ca="1">VLOOKUP($Q$15,'CalData-FUS'!B3:J28,5,FALSE)</f>
        <v>8.1052014168254605</v>
      </c>
      <c r="T15" s="30">
        <f>VLOOKUP($Q$15,'CalData-FUS'!B3:J28,6,FALSE)</f>
        <v>32</v>
      </c>
      <c r="U15" s="24">
        <f>IF(T15=16,12,24)</f>
        <v>24</v>
      </c>
      <c r="V15" s="24">
        <f>VLOOKUP($Q$15,'CalData-FUS'!B3:J28,7,FALSE)</f>
        <v>4350</v>
      </c>
      <c r="W15" s="24">
        <f>VLOOKUP($Q$15,'CalData-FUS'!B3:J28,8,FALSE)</f>
        <v>1100</v>
      </c>
      <c r="X15" s="24">
        <f>VLOOKUP($Q$15,'CalData-FUS'!B3:J28,9,FALSE)</f>
        <v>251.756</v>
      </c>
      <c r="Y15">
        <f>VLOOKUP($Q$15,'CalData-FUS'!B3:M28,12,FALSE)</f>
        <v>250</v>
      </c>
      <c r="AK15">
        <v>90</v>
      </c>
    </row>
    <row r="16" spans="2:37" ht="13.9" customHeight="1" thickBot="1" x14ac:dyDescent="0.25">
      <c r="B16" s="189"/>
      <c r="C16" s="20"/>
      <c r="D16" s="1"/>
      <c r="F16" s="89" t="s">
        <v>31</v>
      </c>
      <c r="G16" s="157" t="s">
        <v>27</v>
      </c>
      <c r="H16" s="21"/>
      <c r="I16" s="114" t="s">
        <v>32</v>
      </c>
      <c r="K16" s="1"/>
      <c r="L16" s="20"/>
      <c r="M16" s="189"/>
      <c r="N16" s="21"/>
      <c r="P16" s="24">
        <v>6.8947599999999998</v>
      </c>
      <c r="T16" s="18"/>
      <c r="AK16">
        <v>95</v>
      </c>
    </row>
    <row r="17" spans="2:37" ht="13.9" customHeight="1" thickBot="1" x14ac:dyDescent="0.25">
      <c r="B17" s="189"/>
      <c r="C17" s="20"/>
      <c r="D17" s="1"/>
      <c r="F17" s="8" t="s">
        <v>33</v>
      </c>
      <c r="G17" s="99">
        <v>100</v>
      </c>
      <c r="H17" s="21"/>
      <c r="I17" s="163" t="s">
        <v>34</v>
      </c>
      <c r="K17" s="1"/>
      <c r="L17" s="20"/>
      <c r="M17" s="189"/>
      <c r="N17" s="21"/>
      <c r="P17" s="91"/>
      <c r="T17" s="18"/>
      <c r="AK17">
        <v>100</v>
      </c>
    </row>
    <row r="18" spans="2:37" ht="15" customHeight="1" thickBot="1" x14ac:dyDescent="0.25">
      <c r="B18" s="189"/>
      <c r="C18" s="20"/>
      <c r="D18" s="1"/>
      <c r="F18" s="89" t="s">
        <v>35</v>
      </c>
      <c r="G18" s="98" t="s">
        <v>77</v>
      </c>
      <c r="H18" s="21"/>
      <c r="I18" s="163" t="str">
        <f>VLOOKUP(G18,V31:W35,2,FALSE)</f>
        <v>-40 degF</v>
      </c>
      <c r="K18" s="1"/>
      <c r="L18" s="20"/>
      <c r="M18" s="189"/>
      <c r="N18" s="21"/>
      <c r="Q18" s="154" t="s">
        <v>37</v>
      </c>
      <c r="AK18">
        <v>110</v>
      </c>
    </row>
    <row r="19" spans="2:37" ht="13.5" thickBot="1" x14ac:dyDescent="0.25">
      <c r="B19" s="189"/>
      <c r="C19" s="20"/>
      <c r="D19" s="1"/>
      <c r="F19" s="89" t="s">
        <v>38</v>
      </c>
      <c r="G19" s="17">
        <v>1</v>
      </c>
      <c r="H19" s="21"/>
      <c r="I19" s="163" t="s">
        <v>39</v>
      </c>
      <c r="K19" s="1"/>
      <c r="L19" s="20"/>
      <c r="M19" s="189"/>
      <c r="N19" s="21"/>
      <c r="O19" s="18"/>
      <c r="P19" s="18"/>
      <c r="Q19" s="115" t="s">
        <v>40</v>
      </c>
      <c r="R19" s="24">
        <v>0.5</v>
      </c>
      <c r="S19" s="24">
        <f>IF(G13=0,0,R19)</f>
        <v>0</v>
      </c>
      <c r="AK19">
        <v>120</v>
      </c>
    </row>
    <row r="20" spans="2:37" ht="13.5" thickBot="1" x14ac:dyDescent="0.25">
      <c r="B20" s="189"/>
      <c r="C20" s="20"/>
      <c r="D20" s="1"/>
      <c r="F20" s="118" t="s">
        <v>41</v>
      </c>
      <c r="G20" s="148">
        <f ca="1">IF(MPPT="Yes",Q89/(R48*Q70),Q89/(R48*Q69))</f>
        <v>109.47145136597881</v>
      </c>
      <c r="H20" s="12"/>
      <c r="I20" s="114" t="s">
        <v>19</v>
      </c>
      <c r="K20" s="1"/>
      <c r="L20" s="20"/>
      <c r="M20" s="189"/>
      <c r="N20" s="21"/>
      <c r="O20" s="18"/>
      <c r="P20" s="18"/>
      <c r="Q20" s="115" t="s">
        <v>42</v>
      </c>
      <c r="R20" s="24">
        <v>0.75</v>
      </c>
      <c r="S20" s="24">
        <f>IF(G14="Yes",R20,0)</f>
        <v>0</v>
      </c>
      <c r="U20" s="91" t="s">
        <v>43</v>
      </c>
      <c r="V20">
        <v>21.4</v>
      </c>
      <c r="W20" s="91" t="s">
        <v>44</v>
      </c>
      <c r="AK20">
        <v>140</v>
      </c>
    </row>
    <row r="21" spans="2:37" ht="13.5" thickBot="1" x14ac:dyDescent="0.25">
      <c r="B21" s="189"/>
      <c r="C21" s="20"/>
      <c r="D21" s="1"/>
      <c r="F21" s="118" t="s">
        <v>45</v>
      </c>
      <c r="G21" s="161">
        <v>150</v>
      </c>
      <c r="H21" s="180"/>
      <c r="I21" s="114" t="s">
        <v>46</v>
      </c>
      <c r="K21" s="1"/>
      <c r="L21" s="20"/>
      <c r="M21" s="189"/>
      <c r="N21" s="21"/>
      <c r="O21" s="18"/>
      <c r="P21" s="90"/>
      <c r="Q21" s="115" t="s">
        <v>47</v>
      </c>
      <c r="R21" s="24">
        <v>0.5</v>
      </c>
      <c r="S21" s="24">
        <f>IF(G15="Yes",R21,0)</f>
        <v>0</v>
      </c>
      <c r="U21" s="91" t="s">
        <v>48</v>
      </c>
      <c r="V21">
        <v>138</v>
      </c>
      <c r="W21" s="90" t="s">
        <v>49</v>
      </c>
      <c r="AK21">
        <v>145</v>
      </c>
    </row>
    <row r="22" spans="2:37" ht="13.5" thickBot="1" x14ac:dyDescent="0.25">
      <c r="B22" s="189"/>
      <c r="C22" s="20"/>
      <c r="D22" s="1"/>
      <c r="F22" s="121" t="s">
        <v>50</v>
      </c>
      <c r="G22" s="161">
        <v>24</v>
      </c>
      <c r="H22" s="181"/>
      <c r="I22" s="164" t="s">
        <v>51</v>
      </c>
      <c r="K22" s="1"/>
      <c r="L22" s="20"/>
      <c r="M22" s="189"/>
      <c r="N22" s="21"/>
      <c r="O22" s="18"/>
      <c r="P22" s="18"/>
      <c r="Q22" s="115" t="s">
        <v>52</v>
      </c>
      <c r="R22" s="24"/>
      <c r="S22" s="24">
        <f>SUM(S19:S21)</f>
        <v>0</v>
      </c>
      <c r="V22">
        <f>V20/3.6</f>
        <v>5.9444444444444438</v>
      </c>
      <c r="W22" s="90" t="s">
        <v>53</v>
      </c>
      <c r="Y22">
        <v>0.96</v>
      </c>
      <c r="AK22">
        <v>150</v>
      </c>
    </row>
    <row r="23" spans="2:37" ht="13.5" thickBot="1" x14ac:dyDescent="0.25">
      <c r="B23" s="189"/>
      <c r="C23" s="20"/>
      <c r="D23" s="1"/>
      <c r="F23" s="91"/>
      <c r="G23" s="166"/>
      <c r="H23" s="12"/>
      <c r="I23" s="165"/>
      <c r="K23" s="1"/>
      <c r="L23" s="20"/>
      <c r="M23" s="189"/>
      <c r="N23" s="21"/>
      <c r="O23" s="18"/>
      <c r="P23" s="18"/>
      <c r="Q23" s="90"/>
      <c r="R23" s="18"/>
      <c r="S23" s="18"/>
      <c r="T23" s="18"/>
      <c r="U23" s="18"/>
      <c r="V23" s="18">
        <f>V21/31</f>
        <v>4.4516129032258061</v>
      </c>
      <c r="W23" s="91" t="s">
        <v>54</v>
      </c>
      <c r="AK23">
        <v>155</v>
      </c>
    </row>
    <row r="24" spans="2:37" ht="13.5" thickBot="1" x14ac:dyDescent="0.25">
      <c r="B24" s="189"/>
      <c r="C24" s="20"/>
      <c r="D24" s="1"/>
      <c r="F24" s="190" t="s">
        <v>55</v>
      </c>
      <c r="G24" s="167"/>
      <c r="H24" s="168"/>
      <c r="I24" s="179"/>
      <c r="K24" s="1"/>
      <c r="L24" s="20"/>
      <c r="M24" s="189"/>
      <c r="N24" s="21"/>
      <c r="O24" s="18"/>
      <c r="P24" s="18"/>
      <c r="Q24" s="90"/>
      <c r="R24" s="18"/>
      <c r="S24" s="18"/>
      <c r="T24" s="18"/>
      <c r="U24" s="18"/>
      <c r="V24" s="18"/>
      <c r="W24" s="91"/>
      <c r="AK24">
        <v>160</v>
      </c>
    </row>
    <row r="25" spans="2:37" ht="13.5" thickBot="1" x14ac:dyDescent="0.25">
      <c r="B25" s="189"/>
      <c r="C25" s="20"/>
      <c r="D25" s="1"/>
      <c r="F25" s="87" t="s">
        <v>56</v>
      </c>
      <c r="G25" s="174">
        <f ca="1">CEILING(Bat.Cap.Req/Bat.Cap,1)*V.Panel/16</f>
        <v>2</v>
      </c>
      <c r="H25" s="12"/>
      <c r="I25" s="120" t="s">
        <v>57</v>
      </c>
      <c r="K25" s="1"/>
      <c r="L25" s="20"/>
      <c r="M25" s="189"/>
      <c r="N25" s="21"/>
      <c r="O25" s="18"/>
      <c r="P25" s="18"/>
      <c r="Q25" s="90"/>
      <c r="R25" s="18"/>
      <c r="S25" s="18"/>
      <c r="T25" s="18"/>
      <c r="U25" s="18"/>
      <c r="V25" s="18"/>
      <c r="W25" s="91"/>
      <c r="AK25">
        <v>165</v>
      </c>
    </row>
    <row r="26" spans="2:37" ht="13.5" thickBot="1" x14ac:dyDescent="0.25">
      <c r="B26" s="189"/>
      <c r="C26" s="20"/>
      <c r="D26" s="1"/>
      <c r="F26" s="87" t="s">
        <v>58</v>
      </c>
      <c r="G26" s="176">
        <f ca="1">(G25*16/V.Panel*Bat.Cap-Bat.Cap.Req)/Bat.Cap.Req</f>
        <v>5.1688781596723539</v>
      </c>
      <c r="H26" s="12"/>
      <c r="I26" s="120"/>
      <c r="K26" s="1"/>
      <c r="L26" s="20"/>
      <c r="M26" s="189"/>
      <c r="N26" s="21"/>
      <c r="O26" s="18"/>
      <c r="P26" s="18"/>
      <c r="Q26" s="90"/>
      <c r="R26" s="18"/>
      <c r="S26" s="18"/>
      <c r="T26" s="18"/>
      <c r="U26" s="18"/>
      <c r="V26" s="18"/>
      <c r="W26" s="91"/>
      <c r="AK26">
        <v>180</v>
      </c>
    </row>
    <row r="27" spans="2:37" ht="13.5" thickBot="1" x14ac:dyDescent="0.25">
      <c r="B27" s="189"/>
      <c r="C27" s="20"/>
      <c r="D27" s="1"/>
      <c r="F27" s="87" t="s">
        <v>59</v>
      </c>
      <c r="G27" s="174">
        <f ca="1">G25*Bat.Cap/Bat.Cap.Req*G19*16/V.Panel</f>
        <v>6.1688781596723539</v>
      </c>
      <c r="H27" s="12"/>
      <c r="I27" s="88" t="s">
        <v>60</v>
      </c>
      <c r="K27" s="1"/>
      <c r="L27" s="20"/>
      <c r="M27" s="189"/>
      <c r="N27" s="21"/>
      <c r="O27" s="18"/>
      <c r="P27" s="18"/>
      <c r="Q27" s="18"/>
      <c r="S27" s="18"/>
      <c r="T27" s="18"/>
      <c r="U27" s="18"/>
      <c r="V27">
        <f>V22/V23</f>
        <v>1.3353462157809983</v>
      </c>
      <c r="AK27">
        <v>190</v>
      </c>
    </row>
    <row r="28" spans="2:37" ht="13.5" thickBot="1" x14ac:dyDescent="0.25">
      <c r="B28" s="189"/>
      <c r="C28" s="20"/>
      <c r="D28" s="1"/>
      <c r="F28" s="118" t="s">
        <v>61</v>
      </c>
      <c r="G28" s="174">
        <f ca="1">IF(AND(V.Panel=32,G22=12),EVEN(Q89/Q88), CEILING(Q89/Q88,1))</f>
        <v>1</v>
      </c>
      <c r="H28" s="12"/>
      <c r="I28" s="120" t="s">
        <v>62</v>
      </c>
      <c r="K28" s="1"/>
      <c r="L28" s="20"/>
      <c r="M28" s="189"/>
      <c r="N28" s="21"/>
      <c r="O28" s="18"/>
      <c r="P28" s="18"/>
      <c r="Q28" s="196" t="s">
        <v>63</v>
      </c>
      <c r="R28" s="15">
        <f>T15</f>
        <v>32</v>
      </c>
      <c r="T28" t="s">
        <v>64</v>
      </c>
      <c r="U28" s="18"/>
      <c r="V28">
        <f>1/V27</f>
        <v>0.7488694603557432</v>
      </c>
      <c r="W28" t="s">
        <v>65</v>
      </c>
      <c r="AK28">
        <v>220</v>
      </c>
    </row>
    <row r="29" spans="2:37" ht="13.5" thickBot="1" x14ac:dyDescent="0.25">
      <c r="B29" s="189"/>
      <c r="C29" s="20"/>
      <c r="D29" s="1"/>
      <c r="F29" s="118" t="s">
        <v>66</v>
      </c>
      <c r="G29" s="174">
        <f>VLOOKUP(G9,SOLAR_DATA!D10:J58,7,FALSE)</f>
        <v>68.2</v>
      </c>
      <c r="I29" s="117" t="s">
        <v>67</v>
      </c>
      <c r="K29" s="1"/>
      <c r="L29" s="20"/>
      <c r="M29" s="189"/>
      <c r="N29" s="21"/>
      <c r="O29" s="18"/>
      <c r="P29" s="18"/>
      <c r="Q29" s="18"/>
      <c r="AK29">
        <v>230</v>
      </c>
    </row>
    <row r="30" spans="2:37" ht="13.5" thickBot="1" x14ac:dyDescent="0.25">
      <c r="B30" s="189"/>
      <c r="C30" s="20"/>
      <c r="D30" s="1"/>
      <c r="F30" s="118" t="s">
        <v>68</v>
      </c>
      <c r="G30" s="191">
        <f ca="1">(Q88*G28/Q89)-1</f>
        <v>0.37022025494599897</v>
      </c>
      <c r="H30" s="12"/>
      <c r="I30" s="120" t="s">
        <v>69</v>
      </c>
      <c r="K30" s="1"/>
      <c r="L30" s="20"/>
      <c r="M30" s="189"/>
      <c r="N30" s="21"/>
      <c r="O30" s="18"/>
      <c r="P30" s="90" t="s">
        <v>70</v>
      </c>
      <c r="Q30" s="18"/>
      <c r="V30" s="24" t="s">
        <v>71</v>
      </c>
      <c r="W30" s="24"/>
      <c r="Z30">
        <f>Pavg*G11/3.785*0.000596</f>
        <v>0.62985468956406865</v>
      </c>
      <c r="AA30" t="s">
        <v>72</v>
      </c>
      <c r="AK30">
        <v>240</v>
      </c>
    </row>
    <row r="31" spans="2:37" x14ac:dyDescent="0.2">
      <c r="B31" s="189"/>
      <c r="C31" s="20"/>
      <c r="D31" s="1"/>
      <c r="F31" s="371" t="s">
        <v>73</v>
      </c>
      <c r="G31" s="375" t="str">
        <f>CONCATENATE(IF(Q&gt;X15,"Exceeding Pump Volume Capacity",""))</f>
        <v/>
      </c>
      <c r="H31" s="376"/>
      <c r="I31" s="377"/>
      <c r="K31" s="1"/>
      <c r="L31" s="20"/>
      <c r="M31" s="189"/>
      <c r="N31" s="21"/>
      <c r="O31" s="18"/>
      <c r="P31" s="24">
        <f>X15/$R$31</f>
        <v>251.756</v>
      </c>
      <c r="Q31" s="30" t="s">
        <v>74</v>
      </c>
      <c r="R31" s="24">
        <f>VLOOKUP(H11,Q34:R36,2,FALSE)</f>
        <v>1</v>
      </c>
      <c r="S31" s="97" t="s">
        <v>75</v>
      </c>
      <c r="T31" s="97" t="s">
        <v>76</v>
      </c>
      <c r="V31" s="134" t="s">
        <v>77</v>
      </c>
      <c r="W31" s="135" t="s">
        <v>78</v>
      </c>
      <c r="Z31">
        <f>Z30*24</f>
        <v>15.116512549537648</v>
      </c>
      <c r="AA31" t="s">
        <v>79</v>
      </c>
      <c r="AK31">
        <v>250</v>
      </c>
    </row>
    <row r="32" spans="2:37" ht="13.5" customHeight="1" x14ac:dyDescent="0.2">
      <c r="B32" s="189"/>
      <c r="C32" s="20"/>
      <c r="D32" s="1"/>
      <c r="F32" s="371"/>
      <c r="G32" s="378" t="str">
        <f>CONCATENATE(IF(Pavg&gt;V15,"Exceeding Pump Pressure Rating",""))</f>
        <v/>
      </c>
      <c r="H32" s="379"/>
      <c r="I32" s="380"/>
      <c r="K32" s="1"/>
      <c r="L32" s="20"/>
      <c r="M32" s="189"/>
      <c r="N32" s="21"/>
      <c r="O32" s="18"/>
      <c r="P32" s="18"/>
      <c r="Q32" s="30"/>
      <c r="R32" s="24"/>
      <c r="S32" s="24"/>
      <c r="T32" s="24"/>
      <c r="V32" s="134" t="s">
        <v>36</v>
      </c>
      <c r="W32" s="135" t="s">
        <v>80</v>
      </c>
      <c r="AK32">
        <v>260</v>
      </c>
    </row>
    <row r="33" spans="2:37" x14ac:dyDescent="0.2">
      <c r="B33" s="189"/>
      <c r="C33" s="20"/>
      <c r="D33" s="1"/>
      <c r="F33" s="371"/>
      <c r="G33" s="378" t="str">
        <f>IF(AND(VLOOKUP($G$12,'CalData-FUS'!B$3:L$28,11, FALSE)=0,G13&gt;0),CONCATENATE("Pump not compatible with multipoint")," ")</f>
        <v xml:space="preserve"> </v>
      </c>
      <c r="H33" s="379"/>
      <c r="I33" s="380"/>
      <c r="K33" s="1"/>
      <c r="L33" s="20"/>
      <c r="M33" s="189"/>
      <c r="N33" s="21"/>
      <c r="O33" s="18"/>
      <c r="P33" s="24"/>
      <c r="Q33" s="30" t="s">
        <v>81</v>
      </c>
      <c r="R33" s="24" t="s">
        <v>82</v>
      </c>
      <c r="S33" s="24" t="s">
        <v>83</v>
      </c>
      <c r="T33" s="31">
        <f>10/12/V.Panel*16</f>
        <v>0.41666666666666669</v>
      </c>
      <c r="V33" s="134" t="s">
        <v>84</v>
      </c>
      <c r="W33" s="135" t="s">
        <v>85</v>
      </c>
      <c r="AK33">
        <v>275</v>
      </c>
    </row>
    <row r="34" spans="2:37" x14ac:dyDescent="0.2">
      <c r="B34" s="189"/>
      <c r="C34" s="20"/>
      <c r="D34" s="1"/>
      <c r="F34" s="371"/>
      <c r="G34" s="187" t="str">
        <f>IF(AND(VLOOKUP($G$12,'CalData-FUS'!B$3:L$28,11, FALSE)=2,G13&gt;0),CONCATENATE("HP Valves Required")," ")</f>
        <v xml:space="preserve"> </v>
      </c>
      <c r="H34" s="192"/>
      <c r="I34" s="188"/>
      <c r="K34" s="1"/>
      <c r="L34" s="20"/>
      <c r="M34" s="189"/>
      <c r="N34" s="21"/>
      <c r="O34" s="18"/>
      <c r="P34" s="18"/>
      <c r="Q34" s="30" t="s">
        <v>28</v>
      </c>
      <c r="R34" s="24">
        <v>1</v>
      </c>
      <c r="S34" s="24" t="s">
        <v>27</v>
      </c>
      <c r="T34" s="24">
        <v>0</v>
      </c>
      <c r="V34" s="134" t="s">
        <v>86</v>
      </c>
      <c r="W34" s="135" t="s">
        <v>87</v>
      </c>
      <c r="Z34">
        <f ca="1">Pwr.Day*24</f>
        <v>4668.5960160914656</v>
      </c>
      <c r="AA34" t="s">
        <v>88</v>
      </c>
      <c r="AK34">
        <v>310</v>
      </c>
    </row>
    <row r="35" spans="2:37" ht="13.5" thickBot="1" x14ac:dyDescent="0.25">
      <c r="B35" s="189"/>
      <c r="C35" s="20"/>
      <c r="D35" s="1"/>
      <c r="F35" s="372"/>
      <c r="G35" s="383" t="str">
        <f>IF(AND(VLOOKUP($G$12,'CalData-FUS'!B3:L28,10, FALSE)=0,G14 = "Yes"),CONCATENATE("Pump not compatible with InSight")," ")</f>
        <v xml:space="preserve"> </v>
      </c>
      <c r="H35" s="384"/>
      <c r="I35" s="385"/>
      <c r="K35" s="1"/>
      <c r="L35" s="20"/>
      <c r="M35" s="189"/>
      <c r="N35" s="21"/>
      <c r="O35" s="18"/>
      <c r="P35" s="18"/>
      <c r="Q35" s="30" t="s">
        <v>10</v>
      </c>
      <c r="R35" s="24">
        <v>0.94635199999999997</v>
      </c>
      <c r="V35" s="24" t="s">
        <v>89</v>
      </c>
      <c r="W35" s="135" t="s">
        <v>90</v>
      </c>
      <c r="Z35">
        <f ca="1">Z31/Z34</f>
        <v>3.2379140318491611E-3</v>
      </c>
      <c r="AA35" t="s">
        <v>91</v>
      </c>
      <c r="AK35">
        <v>320</v>
      </c>
    </row>
    <row r="36" spans="2:37" ht="13.5" thickBot="1" x14ac:dyDescent="0.25">
      <c r="B36" s="189"/>
      <c r="C36" s="20"/>
      <c r="D36" s="1"/>
      <c r="K36" s="1"/>
      <c r="L36" s="20"/>
      <c r="M36" s="189"/>
      <c r="N36" s="21"/>
      <c r="O36" s="18"/>
      <c r="P36" s="18"/>
      <c r="Q36" s="30" t="s">
        <v>92</v>
      </c>
      <c r="R36" s="24">
        <v>3.7854117999999999</v>
      </c>
      <c r="AK36">
        <v>335</v>
      </c>
    </row>
    <row r="37" spans="2:37" ht="13.5" thickBot="1" x14ac:dyDescent="0.25">
      <c r="B37" s="189"/>
      <c r="C37" s="20"/>
      <c r="D37" s="1"/>
      <c r="F37" s="9" t="s">
        <v>93</v>
      </c>
      <c r="G37" s="10"/>
      <c r="H37" s="10"/>
      <c r="I37" s="6"/>
      <c r="K37" s="1"/>
      <c r="L37" s="20"/>
      <c r="M37" s="189"/>
      <c r="N37" s="21"/>
      <c r="O37" s="18"/>
      <c r="P37" s="18"/>
      <c r="Q37" s="18"/>
      <c r="AK37">
        <v>360</v>
      </c>
    </row>
    <row r="38" spans="2:37" ht="13.5" thickBot="1" x14ac:dyDescent="0.25">
      <c r="B38" s="189"/>
      <c r="C38" s="20"/>
      <c r="D38" s="1"/>
      <c r="F38" s="87" t="s">
        <v>94</v>
      </c>
      <c r="G38" s="381" t="str">
        <f>IF(R15&lt;Y15,"Intermitent","Continuous")</f>
        <v>Continuous</v>
      </c>
      <c r="H38" s="382"/>
      <c r="I38" s="7"/>
      <c r="K38" s="1"/>
      <c r="L38" s="20"/>
      <c r="M38" s="189"/>
      <c r="N38" s="21"/>
      <c r="AK38">
        <v>375</v>
      </c>
    </row>
    <row r="39" spans="2:37" ht="13.5" thickBot="1" x14ac:dyDescent="0.25">
      <c r="B39" s="189"/>
      <c r="C39" s="20"/>
      <c r="D39" s="1"/>
      <c r="F39" s="87" t="s">
        <v>95</v>
      </c>
      <c r="G39" s="152">
        <f>IF(G13=0,P31,((60/G13)-2.5)/(60)*P31)</f>
        <v>251.756</v>
      </c>
      <c r="H39" s="13"/>
      <c r="I39" s="88" t="str">
        <f>H11</f>
        <v>L/day</v>
      </c>
      <c r="K39" s="1"/>
      <c r="L39" s="20"/>
      <c r="M39" s="189"/>
      <c r="N39" s="21"/>
      <c r="P39" s="97" t="s">
        <v>96</v>
      </c>
      <c r="Q39" s="141">
        <v>40</v>
      </c>
      <c r="R39" s="97" t="s">
        <v>97</v>
      </c>
      <c r="AK39">
        <v>390</v>
      </c>
    </row>
    <row r="40" spans="2:37" ht="13.5" customHeight="1" thickBot="1" x14ac:dyDescent="0.25">
      <c r="B40" s="189"/>
      <c r="C40" s="20"/>
      <c r="D40" s="1"/>
      <c r="F40" s="87" t="s">
        <v>98</v>
      </c>
      <c r="G40" s="151">
        <f>IF(G13=0,Q/X15,G11/G13/Q.Pavg)</f>
        <v>0.39720999698120402</v>
      </c>
      <c r="I40" s="7"/>
      <c r="K40" s="1"/>
      <c r="L40" s="20"/>
      <c r="M40" s="189"/>
      <c r="N40" s="21"/>
      <c r="P40" s="97" t="s">
        <v>99</v>
      </c>
      <c r="Q40" s="142">
        <f>P15+Q39</f>
        <v>40</v>
      </c>
      <c r="R40" s="97" t="s">
        <v>97</v>
      </c>
    </row>
    <row r="41" spans="2:37" ht="13.5" thickBot="1" x14ac:dyDescent="0.25">
      <c r="B41" s="189"/>
      <c r="C41" s="20"/>
      <c r="D41" s="1"/>
      <c r="F41" s="14" t="s">
        <v>100</v>
      </c>
      <c r="I41" s="7"/>
      <c r="K41" s="1"/>
      <c r="L41" s="20"/>
      <c r="M41" s="189"/>
      <c r="N41" s="21"/>
    </row>
    <row r="42" spans="2:37" ht="13.5" thickBot="1" x14ac:dyDescent="0.25">
      <c r="B42" s="189"/>
      <c r="C42" s="20"/>
      <c r="D42" s="1"/>
      <c r="F42" s="87" t="s">
        <v>101</v>
      </c>
      <c r="G42" s="150">
        <f ca="1">S15</f>
        <v>8.1052014168254605</v>
      </c>
      <c r="H42" s="170"/>
      <c r="I42" s="88" t="s">
        <v>19</v>
      </c>
      <c r="K42" s="1"/>
      <c r="L42" s="20"/>
      <c r="M42" s="189"/>
      <c r="N42" s="21"/>
    </row>
    <row r="43" spans="2:37" ht="13.5" thickBot="1" x14ac:dyDescent="0.25">
      <c r="B43" s="189"/>
      <c r="C43" s="20"/>
      <c r="D43" s="1"/>
      <c r="F43" s="87" t="s">
        <v>102</v>
      </c>
      <c r="G43" s="149">
        <f>$S$22</f>
        <v>0</v>
      </c>
      <c r="H43" s="171"/>
      <c r="I43" s="88" t="s">
        <v>19</v>
      </c>
      <c r="K43" s="1"/>
      <c r="L43" s="20"/>
      <c r="M43" s="189"/>
      <c r="N43" s="21"/>
      <c r="R43" s="96">
        <f>Q88</f>
        <v>266.54186764203013</v>
      </c>
      <c r="S43" s="118" t="s">
        <v>103</v>
      </c>
    </row>
    <row r="44" spans="2:37" ht="13.5" thickBot="1" x14ac:dyDescent="0.25">
      <c r="B44" s="189"/>
      <c r="C44" s="20"/>
      <c r="D44" s="1"/>
      <c r="F44" s="11" t="s">
        <v>104</v>
      </c>
      <c r="G44" s="150">
        <f ca="1">SUM(G42:G43)*24</f>
        <v>194.52483400381107</v>
      </c>
      <c r="H44" s="12"/>
      <c r="I44" s="88" t="s">
        <v>105</v>
      </c>
      <c r="J44" s="16"/>
      <c r="K44" s="1"/>
      <c r="L44" s="20"/>
      <c r="M44" s="189"/>
      <c r="N44" s="21"/>
      <c r="R44" s="96">
        <f ca="1">Q89</f>
        <v>194.52483400381107</v>
      </c>
      <c r="S44" s="118" t="s">
        <v>106</v>
      </c>
    </row>
    <row r="45" spans="2:37" ht="12.75" customHeight="1" thickBot="1" x14ac:dyDescent="0.25">
      <c r="B45" s="189"/>
      <c r="C45" s="20"/>
      <c r="D45" s="1"/>
      <c r="F45" s="87" t="s">
        <v>107</v>
      </c>
      <c r="G45" s="148">
        <f ca="1">Pwr.Day*G19</f>
        <v>194.52483400381107</v>
      </c>
      <c r="H45" s="16"/>
      <c r="I45" s="88" t="s">
        <v>105</v>
      </c>
      <c r="K45" s="1"/>
      <c r="L45" s="20"/>
      <c r="M45" s="189"/>
      <c r="N45" s="21"/>
      <c r="R45" s="24">
        <f ca="1">R43/R44</f>
        <v>1.370220254945999</v>
      </c>
    </row>
    <row r="46" spans="2:37" ht="12.75" customHeight="1" thickBot="1" x14ac:dyDescent="0.25">
      <c r="B46" s="189"/>
      <c r="C46" s="20"/>
      <c r="D46" s="1"/>
      <c r="F46" s="87" t="s">
        <v>108</v>
      </c>
      <c r="G46" s="148">
        <f ca="1">Pwr.10.Day/(F.temp*F.disch)/U15</f>
        <v>16.210402833650921</v>
      </c>
      <c r="H46" s="12"/>
      <c r="I46" s="88" t="s">
        <v>34</v>
      </c>
      <c r="K46" s="1"/>
      <c r="L46" s="20"/>
      <c r="M46" s="189"/>
      <c r="N46" s="21"/>
      <c r="R46" s="24"/>
    </row>
    <row r="47" spans="2:37" ht="13.5" thickBot="1" x14ac:dyDescent="0.25">
      <c r="B47" s="189"/>
      <c r="C47" s="20"/>
      <c r="D47" s="1"/>
      <c r="F47" s="14" t="s">
        <v>109</v>
      </c>
      <c r="I47" s="7"/>
      <c r="K47" s="1"/>
      <c r="L47" s="20"/>
      <c r="M47" s="189"/>
      <c r="N47" s="21"/>
      <c r="R47" s="24"/>
    </row>
    <row r="48" spans="2:37" ht="13.5" thickBot="1" x14ac:dyDescent="0.25">
      <c r="B48" s="189"/>
      <c r="C48" s="20"/>
      <c r="D48" s="1"/>
      <c r="F48" s="118" t="s">
        <v>110</v>
      </c>
      <c r="G48" s="175">
        <f>VLOOKUP(G9,SOLAR_DATA!D10:J58,2,FALSE)/30</f>
        <v>1.8666666666666667</v>
      </c>
      <c r="I48" s="117" t="s">
        <v>111</v>
      </c>
      <c r="K48" s="1"/>
      <c r="L48" s="20"/>
      <c r="M48" s="189"/>
      <c r="N48" s="21"/>
      <c r="R48" s="24">
        <f>IF(Q86&lt;48.9,G49,G48*Q73)</f>
        <v>2.3333333333333335</v>
      </c>
      <c r="S48" t="s">
        <v>112</v>
      </c>
    </row>
    <row r="49" spans="2:19" ht="13.5" thickBot="1" x14ac:dyDescent="0.25">
      <c r="B49" s="189"/>
      <c r="C49" s="20"/>
      <c r="D49" s="1"/>
      <c r="F49" s="118" t="s">
        <v>113</v>
      </c>
      <c r="G49" s="175">
        <f>VLOOKUP(G9,SOLAR_DATA!D10:J58,3,FALSE)/30</f>
        <v>1.8666666666666667</v>
      </c>
      <c r="I49" s="117" t="s">
        <v>111</v>
      </c>
      <c r="K49" s="1"/>
      <c r="L49" s="20"/>
      <c r="M49" s="189"/>
      <c r="N49" s="21"/>
    </row>
    <row r="50" spans="2:19" ht="13.5" thickBot="1" x14ac:dyDescent="0.25">
      <c r="B50" s="189"/>
      <c r="C50" s="20"/>
      <c r="D50" s="1"/>
      <c r="F50" s="121" t="s">
        <v>114</v>
      </c>
      <c r="G50" s="148">
        <f ca="1">IF(MPPT="Yes",Q88*G28,Q88*G28)</f>
        <v>266.54186764203013</v>
      </c>
      <c r="H50" s="172"/>
      <c r="I50" s="173" t="s">
        <v>105</v>
      </c>
      <c r="K50" s="1"/>
      <c r="L50" s="20"/>
      <c r="M50" s="189"/>
      <c r="N50" s="21"/>
    </row>
    <row r="51" spans="2:19" ht="6" customHeight="1" x14ac:dyDescent="0.2">
      <c r="B51" s="189"/>
      <c r="C51" s="20"/>
      <c r="D51" s="1"/>
      <c r="K51" s="1"/>
      <c r="L51" s="20"/>
      <c r="M51" s="189"/>
      <c r="N51" s="21"/>
    </row>
    <row r="52" spans="2:19" ht="7.5" customHeight="1" x14ac:dyDescent="0.2">
      <c r="B52" s="189"/>
      <c r="C52" s="20"/>
      <c r="D52" s="1"/>
      <c r="E52" s="1"/>
      <c r="F52" s="1"/>
      <c r="G52" s="1"/>
      <c r="H52" s="1"/>
      <c r="I52" s="1"/>
      <c r="J52" s="1"/>
      <c r="K52" s="1"/>
      <c r="L52" s="20"/>
      <c r="M52" s="189"/>
      <c r="N52" s="21"/>
    </row>
    <row r="53" spans="2:19" ht="9" customHeight="1" x14ac:dyDescent="0.2">
      <c r="B53" s="189"/>
      <c r="C53" s="20"/>
      <c r="D53" s="20"/>
      <c r="E53" s="20"/>
      <c r="F53" s="200"/>
      <c r="G53" s="20"/>
      <c r="H53" s="20"/>
      <c r="I53" s="20"/>
      <c r="J53" s="20"/>
      <c r="K53" s="20"/>
      <c r="L53" s="20"/>
      <c r="M53" s="189"/>
      <c r="N53" s="21"/>
    </row>
    <row r="54" spans="2:19" x14ac:dyDescent="0.2">
      <c r="B54" s="189"/>
      <c r="C54" s="189"/>
      <c r="D54" s="330"/>
      <c r="E54" s="189"/>
      <c r="F54" s="193"/>
      <c r="G54" s="189"/>
      <c r="H54" s="189"/>
      <c r="I54" s="189"/>
      <c r="J54" s="189"/>
      <c r="K54" s="330"/>
      <c r="L54" s="189"/>
      <c r="M54" s="189"/>
      <c r="P54" s="97" t="s">
        <v>115</v>
      </c>
      <c r="Q54" s="97" t="s">
        <v>116</v>
      </c>
      <c r="R54" s="24"/>
    </row>
    <row r="55" spans="2:19" x14ac:dyDescent="0.2">
      <c r="D55" s="21"/>
      <c r="F55" s="91"/>
      <c r="K55" s="21"/>
      <c r="P55" s="97" t="s">
        <v>117</v>
      </c>
      <c r="Q55" s="24">
        <f>13.8/Q59</f>
        <v>0.73678590496529639</v>
      </c>
      <c r="R55" s="115" t="s">
        <v>118</v>
      </c>
      <c r="S55" s="91" t="s">
        <v>119</v>
      </c>
    </row>
    <row r="56" spans="2:19" x14ac:dyDescent="0.2">
      <c r="D56" s="21"/>
      <c r="F56" s="91"/>
      <c r="K56" s="21"/>
      <c r="P56" s="97" t="s">
        <v>120</v>
      </c>
      <c r="Q56" s="24">
        <v>0.95</v>
      </c>
      <c r="R56" s="115" t="s">
        <v>118</v>
      </c>
      <c r="S56" s="91" t="s">
        <v>119</v>
      </c>
    </row>
    <row r="57" spans="2:19" x14ac:dyDescent="0.2">
      <c r="D57" s="21"/>
      <c r="F57" s="91"/>
      <c r="K57" s="21"/>
      <c r="P57" s="97" t="s">
        <v>121</v>
      </c>
      <c r="Q57" s="136">
        <f>-0.43</f>
        <v>-0.43</v>
      </c>
      <c r="R57" s="97" t="s">
        <v>122</v>
      </c>
    </row>
    <row r="58" spans="2:19" x14ac:dyDescent="0.2">
      <c r="D58" s="21"/>
      <c r="F58" s="91"/>
      <c r="P58" s="97" t="s">
        <v>123</v>
      </c>
      <c r="Q58" s="24">
        <v>-0.32</v>
      </c>
      <c r="R58" s="97" t="s">
        <v>124</v>
      </c>
    </row>
    <row r="59" spans="2:19" x14ac:dyDescent="0.2">
      <c r="F59" s="91"/>
      <c r="P59" s="113" t="s">
        <v>125</v>
      </c>
      <c r="Q59">
        <v>18.73</v>
      </c>
      <c r="R59" s="113" t="s">
        <v>126</v>
      </c>
    </row>
    <row r="60" spans="2:19" x14ac:dyDescent="0.2">
      <c r="F60" s="91"/>
      <c r="P60" s="113" t="s">
        <v>127</v>
      </c>
      <c r="Q60">
        <v>8.59</v>
      </c>
      <c r="R60" s="113" t="s">
        <v>128</v>
      </c>
    </row>
    <row r="61" spans="2:19" x14ac:dyDescent="0.2">
      <c r="P61" s="113" t="s">
        <v>129</v>
      </c>
      <c r="Q61">
        <v>9.26</v>
      </c>
      <c r="R61" s="113" t="s">
        <v>128</v>
      </c>
    </row>
    <row r="62" spans="2:19" x14ac:dyDescent="0.2">
      <c r="F62" s="154"/>
      <c r="P62" s="97" t="s">
        <v>130</v>
      </c>
      <c r="Q62" s="24">
        <v>25</v>
      </c>
      <c r="R62" s="97" t="s">
        <v>131</v>
      </c>
    </row>
    <row r="63" spans="2:19" x14ac:dyDescent="0.2">
      <c r="F63" s="91"/>
      <c r="P63" s="97" t="s">
        <v>132</v>
      </c>
      <c r="Q63" s="144">
        <f>VLOOKUP(G9,SOLAR_DATA!D10:L58,9,FALSE)</f>
        <v>-5</v>
      </c>
      <c r="R63" s="97" t="s">
        <v>131</v>
      </c>
      <c r="S63" s="137"/>
    </row>
    <row r="64" spans="2:19" x14ac:dyDescent="0.2">
      <c r="F64" s="91"/>
      <c r="P64" s="97" t="s">
        <v>133</v>
      </c>
      <c r="Q64" s="138">
        <v>-3.8999999999999998E-3</v>
      </c>
      <c r="R64" s="97" t="s">
        <v>134</v>
      </c>
    </row>
    <row r="65" spans="6:18" x14ac:dyDescent="0.2">
      <c r="F65" s="91"/>
      <c r="P65" s="97" t="s">
        <v>133</v>
      </c>
      <c r="Q65" s="145">
        <f>Q64*6</f>
        <v>-2.3399999999999997E-2</v>
      </c>
      <c r="R65" s="97" t="s">
        <v>135</v>
      </c>
    </row>
    <row r="66" spans="6:18" x14ac:dyDescent="0.2">
      <c r="F66" s="91"/>
      <c r="P66" s="97" t="s">
        <v>136</v>
      </c>
      <c r="Q66" s="146">
        <f>13.8+(Q65*(Q63-Q62))</f>
        <v>14.502000000000001</v>
      </c>
      <c r="R66" s="97" t="s">
        <v>51</v>
      </c>
    </row>
    <row r="67" spans="6:18" x14ac:dyDescent="0.2">
      <c r="F67" s="91"/>
      <c r="P67" s="97" t="s">
        <v>137</v>
      </c>
      <c r="Q67" s="144">
        <f>Q66*2</f>
        <v>29.004000000000001</v>
      </c>
      <c r="R67" s="97" t="s">
        <v>51</v>
      </c>
    </row>
    <row r="68" spans="6:18" x14ac:dyDescent="0.2">
      <c r="F68" s="91"/>
      <c r="P68" s="113" t="s">
        <v>138</v>
      </c>
      <c r="Q68" s="147">
        <f>Q59* (1+(Q63-Q62)*Q58/100)</f>
        <v>20.528080000000003</v>
      </c>
    </row>
    <row r="69" spans="6:18" x14ac:dyDescent="0.2">
      <c r="P69" s="97" t="s">
        <v>139</v>
      </c>
      <c r="Q69" s="146">
        <f>Q66/Q68*Q61/Q60</f>
        <v>0.7615481932629431</v>
      </c>
      <c r="R69" s="97" t="s">
        <v>118</v>
      </c>
    </row>
    <row r="70" spans="6:18" x14ac:dyDescent="0.2">
      <c r="P70" s="97" t="s">
        <v>140</v>
      </c>
      <c r="Q70" s="144">
        <f>Q56*(1+Q57/100*(Q63-Q62))</f>
        <v>1.0725499999999999</v>
      </c>
      <c r="R70" s="97" t="s">
        <v>118</v>
      </c>
    </row>
    <row r="71" spans="6:18" x14ac:dyDescent="0.2">
      <c r="P71" s="24"/>
      <c r="Q71" s="24"/>
      <c r="R71" s="24"/>
    </row>
    <row r="72" spans="6:18" x14ac:dyDescent="0.2">
      <c r="P72" s="97" t="s">
        <v>141</v>
      </c>
      <c r="Q72" s="144">
        <f>Q70/Q69</f>
        <v>1.408380992153015</v>
      </c>
      <c r="R72" s="24"/>
    </row>
    <row r="73" spans="6:18" x14ac:dyDescent="0.2">
      <c r="P73" s="24" t="s">
        <v>142</v>
      </c>
      <c r="Q73" s="139">
        <v>1.25</v>
      </c>
      <c r="R73" s="24"/>
    </row>
    <row r="75" spans="6:18" x14ac:dyDescent="0.2">
      <c r="P75" s="91" t="s">
        <v>143</v>
      </c>
    </row>
    <row r="76" spans="6:18" x14ac:dyDescent="0.2">
      <c r="P76" s="91" t="s">
        <v>144</v>
      </c>
    </row>
    <row r="78" spans="6:18" ht="20.25" x14ac:dyDescent="0.35">
      <c r="F78" s="29"/>
    </row>
    <row r="81" spans="16:24" x14ac:dyDescent="0.2">
      <c r="P81" s="91" t="s">
        <v>145</v>
      </c>
    </row>
    <row r="82" spans="16:24" ht="13.5" thickBot="1" x14ac:dyDescent="0.25"/>
    <row r="83" spans="16:24" ht="13.5" thickBot="1" x14ac:dyDescent="0.25">
      <c r="P83" s="91" t="s">
        <v>146</v>
      </c>
      <c r="Q83" s="143">
        <f>Q72</f>
        <v>1.408380992153015</v>
      </c>
    </row>
    <row r="84" spans="16:24" ht="13.5" thickBot="1" x14ac:dyDescent="0.25">
      <c r="P84" s="197" t="s">
        <v>147</v>
      </c>
      <c r="Q84" s="153">
        <f>IF(G18="-40C",0.5,IF(G18="-30C",0.6,IF(G18="-20C",0.7,IF(G18="-10C",0.8,0.9))))</f>
        <v>0.5</v>
      </c>
    </row>
    <row r="85" spans="16:24" ht="13.5" thickBot="1" x14ac:dyDescent="0.25">
      <c r="P85" s="198" t="s">
        <v>148</v>
      </c>
      <c r="Q85" s="153">
        <v>1</v>
      </c>
    </row>
    <row r="86" spans="16:24" ht="13.5" thickBot="1" x14ac:dyDescent="0.25">
      <c r="P86" s="91" t="s">
        <v>149</v>
      </c>
      <c r="Q86" s="153">
        <f>VLOOKUP(G9,SOLAR_DATA!D10:J58,6,FALSE)</f>
        <v>53.2</v>
      </c>
      <c r="S86" s="199" t="s">
        <v>150</v>
      </c>
    </row>
    <row r="87" spans="16:24" ht="13.5" thickBot="1" x14ac:dyDescent="0.25"/>
    <row r="88" spans="16:24" ht="13.5" thickBot="1" x14ac:dyDescent="0.25">
      <c r="P88" s="91" t="s">
        <v>151</v>
      </c>
      <c r="Q88" s="177">
        <f>IF(MPPT="Yes",G21*Q70*R48,G21*Q69*R48)</f>
        <v>266.54186764203013</v>
      </c>
      <c r="S88" s="91" t="s">
        <v>105</v>
      </c>
    </row>
    <row r="89" spans="16:24" ht="13.5" thickBot="1" x14ac:dyDescent="0.25">
      <c r="P89" s="91" t="s">
        <v>152</v>
      </c>
      <c r="Q89" s="178">
        <f ca="1">Pwr.Day</f>
        <v>194.52483400381107</v>
      </c>
      <c r="R89" s="12"/>
      <c r="S89" s="165" t="s">
        <v>105</v>
      </c>
    </row>
    <row r="95" spans="16:24" x14ac:dyDescent="0.2">
      <c r="Q95" s="21"/>
      <c r="R95" s="21"/>
      <c r="S95" s="21"/>
      <c r="T95" s="21"/>
      <c r="U95" s="21"/>
      <c r="V95" s="21"/>
      <c r="W95" s="21"/>
      <c r="X95" s="21"/>
    </row>
    <row r="96" spans="16:24" x14ac:dyDescent="0.2">
      <c r="Q96" s="21"/>
      <c r="R96" s="21"/>
      <c r="S96" s="21"/>
      <c r="T96" s="21"/>
      <c r="U96" s="21"/>
      <c r="V96" s="21"/>
      <c r="W96" s="21"/>
      <c r="X96" s="21"/>
    </row>
    <row r="97" spans="17:24" x14ac:dyDescent="0.2">
      <c r="Q97" s="21"/>
      <c r="R97" s="21"/>
      <c r="S97" s="21"/>
      <c r="T97" s="21"/>
      <c r="U97" s="21"/>
      <c r="V97" s="21"/>
      <c r="W97" s="21"/>
      <c r="X97" s="21"/>
    </row>
    <row r="98" spans="17:24" x14ac:dyDescent="0.2">
      <c r="Q98" s="21"/>
      <c r="R98" s="21"/>
      <c r="S98" s="21"/>
      <c r="T98" s="21"/>
      <c r="U98" s="21"/>
      <c r="V98" s="21"/>
      <c r="W98" s="21"/>
      <c r="X98" s="21"/>
    </row>
    <row r="99" spans="17:24" x14ac:dyDescent="0.2">
      <c r="Q99" s="195"/>
      <c r="R99" s="21"/>
      <c r="S99" s="21"/>
      <c r="T99" s="21"/>
      <c r="U99" s="21"/>
      <c r="V99" s="21"/>
      <c r="W99" s="21"/>
      <c r="X99" s="21"/>
    </row>
    <row r="100" spans="17:24" x14ac:dyDescent="0.2">
      <c r="Q100" s="21"/>
      <c r="R100" s="21"/>
      <c r="S100" s="21"/>
      <c r="T100" s="21"/>
      <c r="U100" s="21"/>
      <c r="V100" s="21"/>
      <c r="W100" s="21"/>
      <c r="X100" s="21"/>
    </row>
    <row r="101" spans="17:24" x14ac:dyDescent="0.2">
      <c r="Q101" s="21"/>
      <c r="R101" s="21"/>
      <c r="S101" s="21"/>
      <c r="T101" s="21"/>
      <c r="U101" s="21"/>
      <c r="V101" s="21"/>
      <c r="W101" s="21"/>
      <c r="X101" s="21"/>
    </row>
    <row r="102" spans="17:24" x14ac:dyDescent="0.2">
      <c r="Q102" s="21"/>
      <c r="R102" s="21"/>
      <c r="S102" s="21"/>
      <c r="T102" s="21"/>
      <c r="U102" s="21"/>
      <c r="V102" s="21"/>
      <c r="W102" s="21"/>
      <c r="X102" s="21"/>
    </row>
    <row r="103" spans="17:24" x14ac:dyDescent="0.2">
      <c r="Q103" s="21"/>
      <c r="R103" s="21"/>
      <c r="S103" s="21"/>
      <c r="T103" s="21"/>
      <c r="U103" s="21"/>
      <c r="V103" s="21"/>
      <c r="W103" s="21"/>
      <c r="X103" s="21"/>
    </row>
    <row r="104" spans="17:24" x14ac:dyDescent="0.2">
      <c r="Q104" s="21"/>
      <c r="R104" s="21"/>
      <c r="S104" s="21"/>
      <c r="T104" s="21"/>
      <c r="U104" s="21"/>
      <c r="V104" s="21"/>
      <c r="W104" s="21"/>
      <c r="X104" s="21"/>
    </row>
  </sheetData>
  <sheetProtection sheet="1" selectLockedCells="1"/>
  <dataConsolidate/>
  <mergeCells count="10">
    <mergeCell ref="G38:H38"/>
    <mergeCell ref="G33:I33"/>
    <mergeCell ref="G35:I35"/>
    <mergeCell ref="H11:I11"/>
    <mergeCell ref="G9:I9"/>
    <mergeCell ref="H10:I10"/>
    <mergeCell ref="F31:F35"/>
    <mergeCell ref="G12:I12"/>
    <mergeCell ref="G31:I31"/>
    <mergeCell ref="G32:I32"/>
  </mergeCells>
  <phoneticPr fontId="8" type="noConversion"/>
  <dataValidations count="15">
    <dataValidation type="whole" operator="greaterThanOrEqual" allowBlank="1" showInputMessage="1" showErrorMessage="1" sqref="G20" xr:uid="{00000000-0002-0000-0000-000003000000}">
      <formula1>3</formula1>
    </dataValidation>
    <dataValidation type="list" allowBlank="1" showInputMessage="1" showErrorMessage="1" sqref="G17" xr:uid="{00000000-0002-0000-0000-000005000000}">
      <formula1>"50,100,140,250"</formula1>
    </dataValidation>
    <dataValidation type="list" allowBlank="1" showInputMessage="1" showErrorMessage="1" promptTitle="Multipoint" prompt="For Single point injection select 0 for Multipoints." sqref="G13" xr:uid="{00000000-0002-0000-0000-000007000000}">
      <formula1>"0,2,3,4,5,6,7,8,9,10,11,12,13,14,15"</formula1>
    </dataValidation>
    <dataValidation type="whole" allowBlank="1" showInputMessage="1" showErrorMessage="1" sqref="P15" xr:uid="{00000000-0002-0000-0000-000008000000}">
      <formula1>1</formula1>
      <formula2>5000</formula2>
    </dataValidation>
    <dataValidation type="list" allowBlank="1" showInputMessage="1" showErrorMessage="1" sqref="H11" xr:uid="{00000000-0002-0000-0000-000004000000}">
      <formula1>$Q$34:$Q$36</formula1>
    </dataValidation>
    <dataValidation type="list" allowBlank="1" showInputMessage="1" showErrorMessage="1" sqref="G14:G15" xr:uid="{00000000-0002-0000-0000-000006000000}">
      <formula1>$S$33:$S$34</formula1>
    </dataValidation>
    <dataValidation type="list" allowBlank="1" showInputMessage="1" showErrorMessage="1" sqref="H10" xr:uid="{28DCB159-258F-4C90-AF80-2F2828522678}">
      <formula1>"PSI,kPa"</formula1>
    </dataValidation>
    <dataValidation type="list" allowBlank="1" showInputMessage="1" showErrorMessage="1" promptTitle="Panel Nominal Voltage" prompt="A 12V nominial voltage panel is labeled at approx 18 -19 Volts operating for charging a 12V battery bank._x000a_A 24V nominal voltage panel is labeled at 36-40 Volts operating for charging a 24V battery bank." sqref="G22" xr:uid="{94C7EF80-4048-4439-A45C-DEF8907C3EEF}">
      <formula1>"12,24"</formula1>
    </dataValidation>
    <dataValidation type="list" allowBlank="1" showErrorMessage="1" prompt="Select Panel Size" sqref="G22" xr:uid="{00000000-0002-0000-0000-000000000000}">
      <formula1>"20,30,40,50,55,80,85,90,95,100,110,120,140,145,150,155,160,165,220,230,240,250,260,275,310"</formula1>
    </dataValidation>
    <dataValidation allowBlank="1" showErrorMessage="1" prompt="Select Panel Size" sqref="G24" xr:uid="{E0AC1DF0-B688-4352-A906-4E8CDC7D52F5}"/>
    <dataValidation allowBlank="1" showInputMessage="1" showErrorMessage="1" promptTitle="Pressure losses" prompt="40 psi check valve cracking pressure assumed._x000a_This makes the actual pressure at the pump 40 psi higher than the target Design Pressure.  If more checks or long lines are used, some additional pressure margin may be required." sqref="G10" xr:uid="{7BFDCE0A-FF01-4925-8FDD-494D0D079B7C}"/>
    <dataValidation type="list" allowBlank="1" showInputMessage="1" showErrorMessage="1" promptTitle="MPPT" prompt="A Sirius Maximum Power Point Tracking Charge controller is 20 to  40 percent more efficient in energy harvest over PWM style Sunsaver Charge controllers.  The greatest advantage is in cold weather where panel voltages rise." sqref="G16" xr:uid="{8EF3ADF4-CFB0-4089-8739-194F55B597C8}">
      <formula1>$S$33:$S$34</formula1>
    </dataValidation>
    <dataValidation type="list" allowBlank="1" showInputMessage="1" showErrorMessage="1" sqref="G22 G18 G20" xr:uid="{00000000-0002-0000-0000-000002000000}">
      <formula1>$V$31:$V$35</formula1>
    </dataValidation>
    <dataValidation type="list" allowBlank="1" showErrorMessage="1" prompt="Select Panel Size" sqref="G21" xr:uid="{6887C744-A33E-43AF-A6CA-B0118AA6E271}">
      <formula1>"20,30,40,50,55,80,85,90,95,100,110,120,140,145,150,155,160,165,190,220,230,240,250,260,275,310,320,335,360,375,390"</formula1>
    </dataValidation>
    <dataValidation type="whole" operator="greaterThanOrEqual" allowBlank="1" showInputMessage="1" showErrorMessage="1" sqref="G19" xr:uid="{78420246-1F0F-418A-95DC-0818E318CD6A}">
      <formula1>1</formula1>
    </dataValidation>
  </dataValidations>
  <pageMargins left="0.75" right="0.75" top="1" bottom="1" header="0.5" footer="0.5"/>
  <pageSetup orientation="portrait" r:id="rId1"/>
  <headerFooter alignWithMargins="0">
    <oddHeader>&amp;CSirius Injection System
Flow-Spec Sizing Program</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'CalData-FUS'!$B$3:$B$26</xm:f>
          </x14:formula1>
          <xm:sqref>G12:I12</xm:sqref>
        </x14:dataValidation>
        <x14:dataValidation type="list" allowBlank="1" showInputMessage="1" showErrorMessage="1" xr:uid="{00000000-0002-0000-0000-000009000000}">
          <x14:formula1>
            <xm:f>SOLAR_DATA!$D$10:$D$58</xm:f>
          </x14:formula1>
          <xm:sqref>G9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89227-DC83-407B-9E7B-8D35D35D38C7}">
  <sheetPr codeName="Sheet10">
    <tabColor rgb="FF5B9BD5"/>
  </sheetPr>
  <dimension ref="A1:AA97"/>
  <sheetViews>
    <sheetView topLeftCell="A18" workbookViewId="0">
      <selection activeCell="S34" sqref="S34"/>
    </sheetView>
  </sheetViews>
  <sheetFormatPr defaultColWidth="9.140625" defaultRowHeight="15" x14ac:dyDescent="0.25"/>
  <cols>
    <col min="1" max="1" width="14.7109375" style="123" customWidth="1"/>
    <col min="2" max="2" width="11.28515625" style="124" customWidth="1"/>
    <col min="3" max="3" width="12.42578125" style="123" customWidth="1"/>
    <col min="4" max="4" width="19.140625" style="123" customWidth="1"/>
    <col min="5" max="5" width="13.7109375" style="123" customWidth="1"/>
    <col min="6" max="6" width="14.85546875" style="123" customWidth="1"/>
    <col min="7" max="7" width="13.140625" style="123" customWidth="1"/>
    <col min="8" max="8" width="9.140625" style="123"/>
    <col min="9" max="9" width="12.140625" style="123" customWidth="1"/>
    <col min="10" max="10" width="10.5703125" style="123" customWidth="1"/>
    <col min="11" max="11" width="12" style="123" customWidth="1"/>
    <col min="12" max="12" width="9.140625" style="123" customWidth="1"/>
    <col min="13" max="13" width="9.140625" style="125"/>
    <col min="14" max="16384" width="9.140625" style="123"/>
  </cols>
  <sheetData>
    <row r="1" spans="1:27" x14ac:dyDescent="0.25">
      <c r="A1" s="335"/>
      <c r="B1" s="348" t="s">
        <v>305</v>
      </c>
      <c r="C1" s="349">
        <v>44319</v>
      </c>
      <c r="D1" s="331" t="s">
        <v>367</v>
      </c>
      <c r="E1" s="331"/>
      <c r="F1" s="331"/>
      <c r="G1" s="335"/>
      <c r="H1" s="335"/>
      <c r="I1" s="335"/>
      <c r="J1" s="335"/>
      <c r="K1" s="335"/>
      <c r="L1" s="335"/>
      <c r="M1" s="332"/>
      <c r="N1" s="335"/>
      <c r="O1" s="335"/>
      <c r="P1" s="335"/>
      <c r="Q1" s="335"/>
      <c r="R1" s="335"/>
      <c r="S1" s="335"/>
      <c r="T1" s="335"/>
      <c r="U1" s="335"/>
      <c r="V1" s="335"/>
      <c r="W1" s="335"/>
      <c r="X1" s="335"/>
      <c r="Y1" s="335"/>
      <c r="Z1" s="335"/>
      <c r="AA1" s="335"/>
    </row>
    <row r="2" spans="1:27" ht="21" x14ac:dyDescent="0.35">
      <c r="A2" s="45" t="s">
        <v>373</v>
      </c>
      <c r="B2" s="46"/>
      <c r="C2" s="45"/>
      <c r="D2" s="45"/>
      <c r="E2" s="45"/>
      <c r="F2" s="45"/>
      <c r="G2" s="45"/>
      <c r="H2" s="45"/>
      <c r="I2" s="45"/>
      <c r="J2" s="45"/>
      <c r="K2" s="45"/>
      <c r="L2" s="45"/>
      <c r="M2" s="335"/>
      <c r="N2" s="335"/>
      <c r="O2" s="335"/>
      <c r="P2" s="47" t="s">
        <v>309</v>
      </c>
      <c r="Q2" s="49" t="s">
        <v>310</v>
      </c>
      <c r="R2" s="335"/>
      <c r="S2" s="335"/>
      <c r="T2" s="335"/>
      <c r="U2" s="335"/>
      <c r="V2" s="335"/>
      <c r="W2" s="335"/>
      <c r="X2" s="335"/>
      <c r="Y2" s="335"/>
      <c r="Z2" s="335"/>
      <c r="AA2" s="335"/>
    </row>
    <row r="3" spans="1:27" x14ac:dyDescent="0.25">
      <c r="A3" s="47" t="s">
        <v>311</v>
      </c>
      <c r="B3" s="128"/>
      <c r="C3" s="47" t="s">
        <v>364</v>
      </c>
      <c r="D3" s="47"/>
      <c r="E3" s="47"/>
      <c r="F3" s="47"/>
      <c r="G3" s="350"/>
      <c r="H3" s="43"/>
      <c r="I3" s="49"/>
      <c r="J3" s="40"/>
      <c r="K3" s="49"/>
      <c r="L3" s="49"/>
      <c r="M3" s="40"/>
      <c r="N3" s="40"/>
      <c r="O3" s="335"/>
      <c r="P3" s="47">
        <v>20</v>
      </c>
      <c r="Q3" s="49">
        <v>0</v>
      </c>
      <c r="R3" s="335"/>
      <c r="S3" s="335"/>
      <c r="T3" s="335"/>
      <c r="U3" s="335"/>
      <c r="V3" s="335"/>
      <c r="W3" s="335"/>
      <c r="X3" s="335"/>
      <c r="Y3" s="335"/>
      <c r="Z3" s="335"/>
      <c r="AA3" s="335"/>
    </row>
    <row r="4" spans="1:27" x14ac:dyDescent="0.25">
      <c r="A4" s="128" t="s">
        <v>313</v>
      </c>
      <c r="B4" s="128"/>
      <c r="C4" s="128">
        <v>0.3125</v>
      </c>
      <c r="D4" s="128"/>
      <c r="E4" s="128"/>
      <c r="F4" s="128"/>
      <c r="G4" s="51" t="s">
        <v>314</v>
      </c>
      <c r="H4" s="333" t="s">
        <v>315</v>
      </c>
      <c r="I4" s="182"/>
      <c r="J4" s="183" t="s">
        <v>19</v>
      </c>
      <c r="K4" s="184"/>
      <c r="L4" s="183"/>
      <c r="M4" s="334"/>
      <c r="N4" s="182"/>
      <c r="O4" s="47"/>
      <c r="P4" s="47">
        <f>(P$8-P$3)/5+P3</f>
        <v>136</v>
      </c>
      <c r="Q4" s="49">
        <v>500</v>
      </c>
      <c r="R4" s="335"/>
      <c r="S4" s="335"/>
      <c r="T4" s="335"/>
      <c r="U4" s="335"/>
      <c r="V4" s="335"/>
      <c r="W4" s="335"/>
      <c r="X4" s="335"/>
      <c r="Y4" s="335"/>
      <c r="Z4" s="335"/>
      <c r="AA4" s="335"/>
    </row>
    <row r="5" spans="1:27" x14ac:dyDescent="0.25">
      <c r="A5" s="128" t="s">
        <v>317</v>
      </c>
      <c r="B5" s="128"/>
      <c r="C5" s="128" t="s">
        <v>374</v>
      </c>
      <c r="D5" s="128"/>
      <c r="E5" s="128"/>
      <c r="F5" s="128"/>
      <c r="G5" s="52" t="s">
        <v>318</v>
      </c>
      <c r="H5" s="185">
        <v>73.5</v>
      </c>
      <c r="I5" s="184"/>
      <c r="J5" s="182">
        <f>H5/1000*25</f>
        <v>1.8374999999999999</v>
      </c>
      <c r="K5" s="186" t="s">
        <v>319</v>
      </c>
      <c r="L5" s="182"/>
      <c r="M5" s="334"/>
      <c r="N5" s="182"/>
      <c r="O5" s="47"/>
      <c r="P5" s="47">
        <f>(P$8-P$3)/5+P4</f>
        <v>252</v>
      </c>
      <c r="Q5" s="49">
        <v>1000</v>
      </c>
      <c r="R5" s="335"/>
      <c r="S5" s="335"/>
      <c r="T5" s="335"/>
      <c r="U5" s="335"/>
      <c r="V5" s="335"/>
      <c r="W5" s="335"/>
      <c r="X5" s="335"/>
      <c r="Y5" s="335"/>
      <c r="Z5" s="335"/>
      <c r="AA5" s="335"/>
    </row>
    <row r="6" spans="1:27" x14ac:dyDescent="0.25">
      <c r="A6" s="128" t="s">
        <v>320</v>
      </c>
      <c r="B6" s="128"/>
      <c r="C6" s="128">
        <f>0.15-0.014</f>
        <v>0.13599999999999998</v>
      </c>
      <c r="D6" s="128"/>
      <c r="E6" s="128"/>
      <c r="F6" s="128"/>
      <c r="G6" s="51" t="s">
        <v>321</v>
      </c>
      <c r="H6" s="185">
        <v>64.3</v>
      </c>
      <c r="I6" s="184"/>
      <c r="J6" s="182">
        <f>H6/1000*25</f>
        <v>1.6074999999999999</v>
      </c>
      <c r="K6" s="186" t="s">
        <v>319</v>
      </c>
      <c r="L6" s="182"/>
      <c r="M6" s="334"/>
      <c r="N6" s="182"/>
      <c r="O6" s="47"/>
      <c r="P6" s="47">
        <f>(P$8-P$3)/5+P5</f>
        <v>368</v>
      </c>
      <c r="Q6" s="49">
        <v>3000</v>
      </c>
      <c r="R6" s="335"/>
      <c r="S6" s="335"/>
      <c r="T6" s="335"/>
      <c r="U6" s="335"/>
      <c r="V6" s="335"/>
      <c r="W6" s="335"/>
      <c r="X6" s="335"/>
      <c r="Y6" s="335"/>
      <c r="Z6" s="335"/>
      <c r="AA6" s="335"/>
    </row>
    <row r="7" spans="1:27" x14ac:dyDescent="0.25">
      <c r="A7" s="53" t="s">
        <v>322</v>
      </c>
      <c r="B7" s="128"/>
      <c r="C7" s="128" t="s">
        <v>375</v>
      </c>
      <c r="D7" s="128"/>
      <c r="E7" s="128"/>
      <c r="F7" s="128"/>
      <c r="G7" s="335"/>
      <c r="H7" s="182"/>
      <c r="I7" s="182" t="s">
        <v>324</v>
      </c>
      <c r="J7" s="183">
        <f>J5-J6</f>
        <v>0.22999999999999998</v>
      </c>
      <c r="K7" s="183" t="s">
        <v>19</v>
      </c>
      <c r="L7" s="186" t="s">
        <v>325</v>
      </c>
      <c r="M7" s="334"/>
      <c r="N7" s="182"/>
      <c r="O7" s="47"/>
      <c r="P7" s="47">
        <f>(P$8-P$3)/5+P6</f>
        <v>484</v>
      </c>
      <c r="Q7" s="49">
        <v>4000</v>
      </c>
      <c r="R7" s="335"/>
      <c r="S7" s="335"/>
      <c r="T7" s="335"/>
      <c r="U7" s="335"/>
      <c r="V7" s="335"/>
      <c r="W7" s="335"/>
      <c r="X7" s="335"/>
      <c r="Y7" s="335"/>
      <c r="Z7" s="335"/>
      <c r="AA7" s="335"/>
    </row>
    <row r="8" spans="1:27" ht="15.75" thickBot="1" x14ac:dyDescent="0.3">
      <c r="A8" s="53" t="s">
        <v>326</v>
      </c>
      <c r="B8" s="53"/>
      <c r="C8" s="53" t="s">
        <v>376</v>
      </c>
      <c r="D8" s="53"/>
      <c r="E8" s="53"/>
      <c r="F8" s="53"/>
      <c r="G8" s="335" t="s">
        <v>328</v>
      </c>
      <c r="H8" s="335"/>
      <c r="I8" s="335"/>
      <c r="J8" s="50"/>
      <c r="K8" s="50"/>
      <c r="L8" s="50"/>
      <c r="M8" s="332"/>
      <c r="N8" s="335"/>
      <c r="O8" s="54"/>
      <c r="P8" s="54">
        <v>600</v>
      </c>
      <c r="Q8" s="49">
        <v>5000</v>
      </c>
      <c r="R8" s="335"/>
      <c r="S8" s="335"/>
      <c r="T8" s="335"/>
      <c r="U8" s="335"/>
      <c r="V8" s="335"/>
      <c r="W8" s="335"/>
      <c r="X8" s="335"/>
      <c r="Y8" s="335"/>
      <c r="Z8" s="335"/>
      <c r="AA8" s="335"/>
    </row>
    <row r="9" spans="1:27" x14ac:dyDescent="0.25">
      <c r="A9" s="47" t="s">
        <v>205</v>
      </c>
      <c r="B9" s="351"/>
      <c r="C9" s="394" t="s">
        <v>329</v>
      </c>
      <c r="D9" s="395"/>
      <c r="E9" s="396"/>
      <c r="F9" s="397" t="s">
        <v>330</v>
      </c>
      <c r="G9" s="397"/>
      <c r="H9" s="397"/>
      <c r="I9" s="55"/>
      <c r="J9" s="56" t="s">
        <v>332</v>
      </c>
      <c r="K9" s="57" t="s">
        <v>333</v>
      </c>
      <c r="L9" s="398"/>
      <c r="M9" s="400"/>
      <c r="N9" s="400"/>
      <c r="O9" s="352"/>
      <c r="P9" s="337"/>
      <c r="Q9" s="335"/>
      <c r="R9" s="335"/>
      <c r="S9" s="335"/>
      <c r="T9" s="335"/>
      <c r="U9" s="335"/>
      <c r="V9" s="335"/>
      <c r="W9" s="335"/>
      <c r="X9" s="335"/>
      <c r="Y9" s="335"/>
      <c r="Z9" s="335">
        <v>10</v>
      </c>
      <c r="AA9" s="335">
        <f>Z9/400*600</f>
        <v>15</v>
      </c>
    </row>
    <row r="10" spans="1:27" ht="15.75" thickBot="1" x14ac:dyDescent="0.3">
      <c r="A10" s="128" t="s">
        <v>8</v>
      </c>
      <c r="B10" s="128" t="s">
        <v>18</v>
      </c>
      <c r="C10" s="53" t="s">
        <v>335</v>
      </c>
      <c r="D10" s="50" t="s">
        <v>336</v>
      </c>
      <c r="E10" s="61" t="s">
        <v>19</v>
      </c>
      <c r="F10" s="62" t="s">
        <v>337</v>
      </c>
      <c r="G10" s="53" t="s">
        <v>338</v>
      </c>
      <c r="H10" s="53" t="s">
        <v>339</v>
      </c>
      <c r="I10" s="64" t="s">
        <v>340</v>
      </c>
      <c r="J10" s="60" t="s">
        <v>19</v>
      </c>
      <c r="K10" s="63" t="s">
        <v>341</v>
      </c>
      <c r="L10" s="63"/>
      <c r="M10" s="65" t="s">
        <v>342</v>
      </c>
      <c r="N10" s="66"/>
      <c r="O10" s="338"/>
      <c r="P10" s="68"/>
      <c r="Q10" s="69"/>
      <c r="R10" s="70"/>
      <c r="S10" s="70"/>
      <c r="T10" s="335"/>
      <c r="U10" s="335"/>
      <c r="V10" s="335"/>
      <c r="W10" s="335"/>
      <c r="X10" s="335"/>
      <c r="Y10" s="335"/>
      <c r="Z10" s="335">
        <v>50</v>
      </c>
      <c r="AA10" s="335">
        <f>Z10/400*600</f>
        <v>75</v>
      </c>
    </row>
    <row r="11" spans="1:27" x14ac:dyDescent="0.25">
      <c r="A11" s="74">
        <f t="shared" ref="A11:A16" si="0">Q3</f>
        <v>0</v>
      </c>
      <c r="B11" s="128">
        <f t="shared" ref="B11:B16" si="1">P$3</f>
        <v>20</v>
      </c>
      <c r="C11" s="331">
        <v>156</v>
      </c>
      <c r="D11" s="353">
        <v>3</v>
      </c>
      <c r="E11" s="343">
        <f t="shared" ref="E11:E16" si="2">60/D11*C11/1000</f>
        <v>3.12</v>
      </c>
      <c r="F11" s="354">
        <f t="shared" ref="F11:F16" si="3">E11-$J$7</f>
        <v>2.89</v>
      </c>
      <c r="G11" s="24">
        <v>180</v>
      </c>
      <c r="H11" s="24">
        <v>30</v>
      </c>
      <c r="I11" s="355">
        <f t="shared" ref="I11:I16" si="4">60*H11/G11</f>
        <v>10</v>
      </c>
      <c r="J11" s="101">
        <f t="shared" ref="J11:J16" si="5">I11/100*A11/100*0.8</f>
        <v>0</v>
      </c>
      <c r="K11" s="340">
        <f t="shared" ref="K11:K16" si="6">J11/E11</f>
        <v>0</v>
      </c>
      <c r="L11" s="348"/>
      <c r="M11" s="341"/>
      <c r="N11" s="356"/>
      <c r="O11" s="331"/>
      <c r="P11" s="331"/>
      <c r="Q11" s="69"/>
      <c r="R11" s="70"/>
      <c r="S11" s="70"/>
      <c r="T11" s="335"/>
      <c r="U11" s="335"/>
      <c r="V11" s="335"/>
      <c r="W11" s="335"/>
      <c r="X11" s="335"/>
      <c r="Y11" s="335"/>
      <c r="Z11" s="335"/>
      <c r="AA11" s="335"/>
    </row>
    <row r="12" spans="1:27" x14ac:dyDescent="0.25">
      <c r="A12" s="74">
        <f t="shared" si="0"/>
        <v>500</v>
      </c>
      <c r="B12" s="128">
        <f t="shared" si="1"/>
        <v>20</v>
      </c>
      <c r="C12" s="331">
        <v>204</v>
      </c>
      <c r="D12" s="353">
        <v>3</v>
      </c>
      <c r="E12" s="343">
        <f t="shared" si="2"/>
        <v>4.08</v>
      </c>
      <c r="F12" s="354">
        <f t="shared" si="3"/>
        <v>3.85</v>
      </c>
      <c r="G12" s="24">
        <v>180</v>
      </c>
      <c r="H12" s="24">
        <v>29.5</v>
      </c>
      <c r="I12" s="355">
        <f t="shared" si="4"/>
        <v>9.8333333333333339</v>
      </c>
      <c r="J12" s="101">
        <f t="shared" si="5"/>
        <v>0.39333333333333337</v>
      </c>
      <c r="K12" s="340">
        <f t="shared" si="6"/>
        <v>9.6405228758169939E-2</v>
      </c>
      <c r="L12" s="348"/>
      <c r="M12" s="341">
        <f>I12/$I$12</f>
        <v>1</v>
      </c>
      <c r="N12" s="356"/>
      <c r="O12" s="331"/>
      <c r="P12" s="331"/>
      <c r="Q12" s="335"/>
      <c r="R12" s="335"/>
      <c r="S12" s="335"/>
      <c r="T12" s="335"/>
      <c r="U12" s="335"/>
      <c r="V12" s="335"/>
      <c r="W12" s="335"/>
      <c r="X12" s="335"/>
      <c r="Y12" s="335"/>
      <c r="Z12" s="335">
        <v>100</v>
      </c>
      <c r="AA12" s="335">
        <f>Z12/400*600</f>
        <v>150</v>
      </c>
    </row>
    <row r="13" spans="1:27" x14ac:dyDescent="0.25">
      <c r="A13" s="74">
        <f t="shared" si="0"/>
        <v>1000</v>
      </c>
      <c r="B13" s="128">
        <f t="shared" si="1"/>
        <v>20</v>
      </c>
      <c r="C13" s="331">
        <v>240</v>
      </c>
      <c r="D13" s="353">
        <v>3</v>
      </c>
      <c r="E13" s="343">
        <f t="shared" si="2"/>
        <v>4.8</v>
      </c>
      <c r="F13" s="354">
        <f t="shared" si="3"/>
        <v>4.57</v>
      </c>
      <c r="G13" s="24">
        <v>180</v>
      </c>
      <c r="H13" s="24">
        <v>28.5</v>
      </c>
      <c r="I13" s="355">
        <f t="shared" si="4"/>
        <v>9.5</v>
      </c>
      <c r="J13" s="101">
        <f t="shared" si="5"/>
        <v>0.76</v>
      </c>
      <c r="K13" s="340">
        <f t="shared" si="6"/>
        <v>0.15833333333333335</v>
      </c>
      <c r="L13" s="348"/>
      <c r="M13" s="341">
        <f>I13/$I$12</f>
        <v>0.96610169491525422</v>
      </c>
      <c r="N13" s="356"/>
      <c r="O13" s="331"/>
      <c r="P13" s="331"/>
      <c r="Q13" s="335"/>
      <c r="R13" s="335"/>
      <c r="S13" s="335"/>
      <c r="T13" s="335"/>
      <c r="U13" s="335"/>
      <c r="V13" s="335"/>
      <c r="W13" s="335"/>
      <c r="X13" s="335"/>
      <c r="Y13" s="335"/>
      <c r="Z13" s="335">
        <v>200</v>
      </c>
      <c r="AA13" s="335">
        <f>Z13/400*600</f>
        <v>300</v>
      </c>
    </row>
    <row r="14" spans="1:27" x14ac:dyDescent="0.25">
      <c r="A14" s="74">
        <f t="shared" si="0"/>
        <v>3000</v>
      </c>
      <c r="B14" s="128">
        <f t="shared" si="1"/>
        <v>20</v>
      </c>
      <c r="C14" s="331">
        <v>612</v>
      </c>
      <c r="D14" s="353">
        <v>3</v>
      </c>
      <c r="E14" s="343">
        <f t="shared" si="2"/>
        <v>12.24</v>
      </c>
      <c r="F14" s="354">
        <f t="shared" si="3"/>
        <v>12.01</v>
      </c>
      <c r="G14" s="24">
        <v>180</v>
      </c>
      <c r="H14" s="24">
        <v>27</v>
      </c>
      <c r="I14" s="355">
        <f t="shared" si="4"/>
        <v>9</v>
      </c>
      <c r="J14" s="101">
        <f t="shared" si="5"/>
        <v>2.16</v>
      </c>
      <c r="K14" s="340">
        <f t="shared" si="6"/>
        <v>0.17647058823529413</v>
      </c>
      <c r="L14" s="348"/>
      <c r="M14" s="341">
        <f>I14/$I$12</f>
        <v>0.91525423728813549</v>
      </c>
      <c r="N14" s="356"/>
      <c r="O14" s="331"/>
      <c r="P14" s="331"/>
      <c r="Q14" s="335"/>
      <c r="R14" s="335"/>
      <c r="S14" s="335"/>
      <c r="T14" s="335"/>
      <c r="U14" s="335"/>
      <c r="V14" s="335"/>
      <c r="W14" s="335"/>
      <c r="X14" s="335"/>
      <c r="Y14" s="335"/>
      <c r="Z14" s="335">
        <v>300</v>
      </c>
      <c r="AA14" s="335">
        <f>Z14/400*600</f>
        <v>450</v>
      </c>
    </row>
    <row r="15" spans="1:27" x14ac:dyDescent="0.25">
      <c r="A15" s="74">
        <f t="shared" si="0"/>
        <v>4000</v>
      </c>
      <c r="B15" s="128">
        <f t="shared" si="1"/>
        <v>20</v>
      </c>
      <c r="C15" s="331">
        <v>888</v>
      </c>
      <c r="D15" s="353">
        <v>3</v>
      </c>
      <c r="E15" s="343">
        <f t="shared" si="2"/>
        <v>17.760000000000002</v>
      </c>
      <c r="F15" s="354">
        <f t="shared" si="3"/>
        <v>17.53</v>
      </c>
      <c r="G15" s="24">
        <v>180</v>
      </c>
      <c r="H15" s="24">
        <v>25.5</v>
      </c>
      <c r="I15" s="355">
        <f t="shared" si="4"/>
        <v>8.5</v>
      </c>
      <c r="J15" s="101">
        <f t="shared" si="5"/>
        <v>2.72</v>
      </c>
      <c r="K15" s="340">
        <f t="shared" si="6"/>
        <v>0.15315315315315314</v>
      </c>
      <c r="L15" s="348"/>
      <c r="M15" s="341">
        <f>I15/$I$12</f>
        <v>0.86440677966101687</v>
      </c>
      <c r="N15" s="356"/>
      <c r="O15" s="331"/>
      <c r="P15" s="331"/>
      <c r="Q15" s="335"/>
      <c r="R15" s="335"/>
      <c r="S15" s="335"/>
      <c r="T15" s="335"/>
      <c r="U15" s="335"/>
      <c r="V15" s="335"/>
      <c r="W15" s="335"/>
      <c r="X15" s="335"/>
      <c r="Y15" s="335"/>
      <c r="Z15" s="335">
        <v>400</v>
      </c>
      <c r="AA15" s="335">
        <f>Z15/400*600</f>
        <v>600</v>
      </c>
    </row>
    <row r="16" spans="1:27" x14ac:dyDescent="0.25">
      <c r="A16" s="74">
        <f t="shared" si="0"/>
        <v>5000</v>
      </c>
      <c r="B16" s="128">
        <f t="shared" si="1"/>
        <v>20</v>
      </c>
      <c r="C16" s="331">
        <v>1188</v>
      </c>
      <c r="D16" s="353">
        <v>3</v>
      </c>
      <c r="E16" s="343">
        <f t="shared" si="2"/>
        <v>23.76</v>
      </c>
      <c r="F16" s="354">
        <f t="shared" si="3"/>
        <v>23.53</v>
      </c>
      <c r="G16" s="24">
        <v>180</v>
      </c>
      <c r="H16" s="24">
        <v>24</v>
      </c>
      <c r="I16" s="355">
        <f t="shared" si="4"/>
        <v>8</v>
      </c>
      <c r="J16" s="101">
        <f t="shared" si="5"/>
        <v>3.2</v>
      </c>
      <c r="K16" s="340">
        <f t="shared" si="6"/>
        <v>0.13468013468013468</v>
      </c>
      <c r="L16" s="348"/>
      <c r="M16" s="341">
        <f>I16/$I$12</f>
        <v>0.81355932203389825</v>
      </c>
      <c r="N16" s="356"/>
      <c r="O16" s="331"/>
      <c r="P16" s="331"/>
      <c r="Q16" s="335"/>
      <c r="R16" s="335"/>
      <c r="S16" s="335"/>
      <c r="T16" s="335"/>
      <c r="U16" s="335"/>
      <c r="V16" s="335"/>
      <c r="W16" s="335"/>
      <c r="X16" s="335"/>
      <c r="Y16" s="335"/>
      <c r="Z16" s="335"/>
      <c r="AA16" s="335"/>
    </row>
    <row r="17" spans="1:27" x14ac:dyDescent="0.25">
      <c r="A17" s="74"/>
      <c r="B17" s="74"/>
      <c r="C17" s="331"/>
      <c r="D17" s="331"/>
      <c r="E17" s="343"/>
      <c r="F17" s="354"/>
      <c r="G17" s="24"/>
      <c r="H17" s="24"/>
      <c r="I17" s="355"/>
      <c r="J17" s="101"/>
      <c r="K17" s="348"/>
      <c r="L17" s="348"/>
      <c r="M17" s="341"/>
      <c r="N17" s="356"/>
      <c r="O17" s="331"/>
      <c r="P17" s="331"/>
      <c r="Q17" s="335"/>
      <c r="R17" s="335"/>
      <c r="S17" s="335"/>
      <c r="T17" s="335"/>
      <c r="U17" s="335"/>
      <c r="V17" s="335"/>
      <c r="W17" s="335"/>
      <c r="X17" s="335"/>
      <c r="Y17" s="335"/>
      <c r="Z17" s="335"/>
      <c r="AA17" s="335"/>
    </row>
    <row r="18" spans="1:27" x14ac:dyDescent="0.25">
      <c r="A18" s="74">
        <f t="shared" ref="A18:A23" si="7">Q3</f>
        <v>0</v>
      </c>
      <c r="B18" s="74">
        <f t="shared" ref="B18:B23" si="8">P$4</f>
        <v>136</v>
      </c>
      <c r="C18" s="331">
        <v>168</v>
      </c>
      <c r="D18" s="353">
        <f t="shared" ref="D18:D23" si="9">60/60</f>
        <v>1</v>
      </c>
      <c r="E18" s="343">
        <f t="shared" ref="E18:E23" si="10">60/D18*C18/1000</f>
        <v>10.08</v>
      </c>
      <c r="F18" s="354">
        <f t="shared" ref="F18:F23" si="11">E18-$J$7</f>
        <v>9.85</v>
      </c>
      <c r="G18" s="24">
        <v>60</v>
      </c>
      <c r="H18" s="24">
        <v>65</v>
      </c>
      <c r="I18" s="355">
        <f t="shared" ref="I18:I23" si="12">60*H18/G18</f>
        <v>65</v>
      </c>
      <c r="J18" s="101">
        <f t="shared" ref="J18:J23" si="13">I18/100*A18/100*0.8</f>
        <v>0</v>
      </c>
      <c r="K18" s="340">
        <f t="shared" ref="K18:K23" si="14">J18/E18</f>
        <v>0</v>
      </c>
      <c r="L18" s="348"/>
      <c r="M18" s="341"/>
      <c r="N18" s="356"/>
      <c r="O18" s="331"/>
      <c r="P18" s="331"/>
      <c r="Q18" s="69"/>
      <c r="R18" s="70"/>
      <c r="S18" s="70"/>
      <c r="T18" s="335"/>
      <c r="U18" s="335"/>
      <c r="V18" s="335"/>
      <c r="W18" s="335"/>
      <c r="X18" s="335"/>
      <c r="Y18" s="335"/>
      <c r="Z18" s="335"/>
      <c r="AA18" s="335"/>
    </row>
    <row r="19" spans="1:27" x14ac:dyDescent="0.25">
      <c r="A19" s="74">
        <f t="shared" si="7"/>
        <v>500</v>
      </c>
      <c r="B19" s="74">
        <f t="shared" si="8"/>
        <v>136</v>
      </c>
      <c r="C19" s="331">
        <v>232</v>
      </c>
      <c r="D19" s="353">
        <f t="shared" si="9"/>
        <v>1</v>
      </c>
      <c r="E19" s="343">
        <f t="shared" si="10"/>
        <v>13.92</v>
      </c>
      <c r="F19" s="354">
        <f t="shared" si="11"/>
        <v>13.69</v>
      </c>
      <c r="G19" s="24">
        <v>60</v>
      </c>
      <c r="H19" s="24">
        <v>65</v>
      </c>
      <c r="I19" s="355">
        <f t="shared" si="12"/>
        <v>65</v>
      </c>
      <c r="J19" s="101">
        <f t="shared" si="13"/>
        <v>2.6</v>
      </c>
      <c r="K19" s="340">
        <f t="shared" si="14"/>
        <v>0.18678160919540229</v>
      </c>
      <c r="L19" s="348"/>
      <c r="M19" s="341">
        <f t="shared" ref="M19:M24" si="15">I19/$I$19</f>
        <v>1</v>
      </c>
      <c r="N19" s="356"/>
      <c r="O19" s="331"/>
      <c r="P19" s="331"/>
      <c r="Q19" s="335"/>
      <c r="R19" s="335"/>
      <c r="S19" s="335"/>
      <c r="T19" s="335"/>
      <c r="U19" s="335"/>
      <c r="V19" s="335"/>
      <c r="W19" s="335"/>
      <c r="X19" s="335"/>
      <c r="Y19" s="335"/>
      <c r="Z19" s="335">
        <v>100</v>
      </c>
      <c r="AA19" s="335">
        <f>Z19/400*600</f>
        <v>150</v>
      </c>
    </row>
    <row r="20" spans="1:27" x14ac:dyDescent="0.25">
      <c r="A20" s="74">
        <f t="shared" si="7"/>
        <v>1000</v>
      </c>
      <c r="B20" s="74">
        <f t="shared" si="8"/>
        <v>136</v>
      </c>
      <c r="C20" s="331">
        <v>292</v>
      </c>
      <c r="D20" s="353">
        <f t="shared" si="9"/>
        <v>1</v>
      </c>
      <c r="E20" s="343">
        <f t="shared" si="10"/>
        <v>17.52</v>
      </c>
      <c r="F20" s="354">
        <f t="shared" si="11"/>
        <v>17.29</v>
      </c>
      <c r="G20" s="24">
        <v>60</v>
      </c>
      <c r="H20" s="24">
        <v>65</v>
      </c>
      <c r="I20" s="355">
        <f t="shared" si="12"/>
        <v>65</v>
      </c>
      <c r="J20" s="101">
        <f t="shared" si="13"/>
        <v>5.2</v>
      </c>
      <c r="K20" s="340">
        <f t="shared" si="14"/>
        <v>0.29680365296803657</v>
      </c>
      <c r="L20" s="348"/>
      <c r="M20" s="341">
        <f t="shared" si="15"/>
        <v>1</v>
      </c>
      <c r="N20" s="356"/>
      <c r="O20" s="331"/>
      <c r="P20" s="331"/>
      <c r="Q20" s="335"/>
      <c r="R20" s="335"/>
      <c r="S20" s="335"/>
      <c r="T20" s="335"/>
      <c r="U20" s="335"/>
      <c r="V20" s="335"/>
      <c r="W20" s="335"/>
      <c r="X20" s="335"/>
      <c r="Y20" s="335"/>
      <c r="Z20" s="335">
        <v>200</v>
      </c>
      <c r="AA20" s="335">
        <f>Z20/400*600</f>
        <v>300</v>
      </c>
    </row>
    <row r="21" spans="1:27" x14ac:dyDescent="0.25">
      <c r="A21" s="74">
        <f t="shared" si="7"/>
        <v>3000</v>
      </c>
      <c r="B21" s="74">
        <f t="shared" si="8"/>
        <v>136</v>
      </c>
      <c r="C21" s="331">
        <v>512</v>
      </c>
      <c r="D21" s="353">
        <f t="shared" si="9"/>
        <v>1</v>
      </c>
      <c r="E21" s="343">
        <f t="shared" si="10"/>
        <v>30.72</v>
      </c>
      <c r="F21" s="354">
        <f t="shared" si="11"/>
        <v>30.49</v>
      </c>
      <c r="G21" s="24">
        <v>60</v>
      </c>
      <c r="H21" s="24">
        <v>60</v>
      </c>
      <c r="I21" s="355">
        <f t="shared" si="12"/>
        <v>60</v>
      </c>
      <c r="J21" s="101">
        <f t="shared" si="13"/>
        <v>14.4</v>
      </c>
      <c r="K21" s="340">
        <f t="shared" si="14"/>
        <v>0.46875000000000006</v>
      </c>
      <c r="L21" s="348"/>
      <c r="M21" s="341">
        <f t="shared" si="15"/>
        <v>0.92307692307692313</v>
      </c>
      <c r="N21" s="356"/>
      <c r="O21" s="331"/>
      <c r="P21" s="331"/>
      <c r="Q21" s="335"/>
      <c r="R21" s="335"/>
      <c r="S21" s="335"/>
      <c r="T21" s="335"/>
      <c r="U21" s="335"/>
      <c r="V21" s="335"/>
      <c r="W21" s="335"/>
      <c r="X21" s="335"/>
      <c r="Y21" s="335"/>
      <c r="Z21" s="335">
        <v>300</v>
      </c>
      <c r="AA21" s="335">
        <f>Z21/400*600</f>
        <v>450</v>
      </c>
    </row>
    <row r="22" spans="1:27" x14ac:dyDescent="0.25">
      <c r="A22" s="74">
        <f t="shared" si="7"/>
        <v>4000</v>
      </c>
      <c r="B22" s="74">
        <f t="shared" si="8"/>
        <v>136</v>
      </c>
      <c r="C22" s="331">
        <v>660</v>
      </c>
      <c r="D22" s="353">
        <f t="shared" si="9"/>
        <v>1</v>
      </c>
      <c r="E22" s="343">
        <f t="shared" si="10"/>
        <v>39.6</v>
      </c>
      <c r="F22" s="354">
        <f t="shared" si="11"/>
        <v>39.370000000000005</v>
      </c>
      <c r="G22" s="24">
        <v>60</v>
      </c>
      <c r="H22" s="24">
        <v>55</v>
      </c>
      <c r="I22" s="355">
        <f t="shared" si="12"/>
        <v>55</v>
      </c>
      <c r="J22" s="101">
        <f t="shared" si="13"/>
        <v>17.600000000000001</v>
      </c>
      <c r="K22" s="340">
        <f t="shared" si="14"/>
        <v>0.44444444444444448</v>
      </c>
      <c r="L22" s="348"/>
      <c r="M22" s="341">
        <f t="shared" si="15"/>
        <v>0.84615384615384615</v>
      </c>
      <c r="N22" s="356"/>
      <c r="O22" s="331"/>
      <c r="P22" s="331"/>
      <c r="Q22" s="335"/>
      <c r="R22" s="335"/>
      <c r="S22" s="335"/>
      <c r="T22" s="335"/>
      <c r="U22" s="335"/>
      <c r="V22" s="335"/>
      <c r="W22" s="335"/>
      <c r="X22" s="335"/>
      <c r="Y22" s="335"/>
      <c r="Z22" s="335">
        <v>400</v>
      </c>
      <c r="AA22" s="335">
        <f>Z22/400*600</f>
        <v>600</v>
      </c>
    </row>
    <row r="23" spans="1:27" x14ac:dyDescent="0.25">
      <c r="A23" s="74">
        <f t="shared" si="7"/>
        <v>5000</v>
      </c>
      <c r="B23" s="74">
        <f t="shared" si="8"/>
        <v>136</v>
      </c>
      <c r="C23" s="331">
        <v>852</v>
      </c>
      <c r="D23" s="353">
        <f t="shared" si="9"/>
        <v>1</v>
      </c>
      <c r="E23" s="343">
        <f t="shared" si="10"/>
        <v>51.12</v>
      </c>
      <c r="F23" s="354">
        <f t="shared" si="11"/>
        <v>50.89</v>
      </c>
      <c r="G23" s="24">
        <v>60</v>
      </c>
      <c r="H23" s="24">
        <v>50</v>
      </c>
      <c r="I23" s="355">
        <f t="shared" si="12"/>
        <v>50</v>
      </c>
      <c r="J23" s="101">
        <f t="shared" si="13"/>
        <v>20</v>
      </c>
      <c r="K23" s="340">
        <f t="shared" si="14"/>
        <v>0.39123630672926452</v>
      </c>
      <c r="L23" s="348"/>
      <c r="M23" s="341">
        <f t="shared" si="15"/>
        <v>0.76923076923076927</v>
      </c>
      <c r="N23" s="356"/>
      <c r="O23" s="331"/>
      <c r="P23" s="331"/>
      <c r="Q23" s="335"/>
      <c r="R23" s="335"/>
      <c r="S23" s="335"/>
      <c r="T23" s="335"/>
      <c r="U23" s="335"/>
      <c r="V23" s="335"/>
      <c r="W23" s="335"/>
      <c r="X23" s="335"/>
      <c r="Y23" s="335"/>
      <c r="Z23" s="335"/>
      <c r="AA23" s="335"/>
    </row>
    <row r="24" spans="1:27" x14ac:dyDescent="0.25">
      <c r="A24" s="128"/>
      <c r="B24" s="128"/>
      <c r="C24" s="331"/>
      <c r="D24" s="331"/>
      <c r="E24" s="343"/>
      <c r="F24" s="354"/>
      <c r="G24" s="24"/>
      <c r="H24" s="24"/>
      <c r="I24" s="355"/>
      <c r="J24" s="101"/>
      <c r="K24" s="348"/>
      <c r="L24" s="348"/>
      <c r="M24" s="341">
        <f t="shared" si="15"/>
        <v>0</v>
      </c>
      <c r="N24" s="356"/>
      <c r="O24" s="331"/>
      <c r="P24" s="331"/>
      <c r="Q24" s="335"/>
      <c r="R24" s="335"/>
      <c r="S24" s="335"/>
      <c r="T24" s="335"/>
      <c r="U24" s="335"/>
      <c r="V24" s="335"/>
      <c r="W24" s="335"/>
      <c r="X24" s="335"/>
      <c r="Y24" s="335"/>
      <c r="Z24" s="335"/>
      <c r="AA24" s="335"/>
    </row>
    <row r="25" spans="1:27" x14ac:dyDescent="0.25">
      <c r="A25" s="128">
        <f t="shared" ref="A25:A30" si="16">Q3</f>
        <v>0</v>
      </c>
      <c r="B25" s="128">
        <f t="shared" ref="B25:B30" si="17">P$5</f>
        <v>252</v>
      </c>
      <c r="C25" s="331">
        <v>268</v>
      </c>
      <c r="D25" s="353">
        <f t="shared" ref="D25:D30" si="18">60/60</f>
        <v>1</v>
      </c>
      <c r="E25" s="343">
        <f t="shared" ref="E25:E30" si="19">60/D25*C25/1000</f>
        <v>16.079999999999998</v>
      </c>
      <c r="F25" s="354">
        <f t="shared" ref="F25:F30" si="20">E25-$J$7</f>
        <v>15.849999999999998</v>
      </c>
      <c r="G25" s="24">
        <v>60</v>
      </c>
      <c r="H25" s="24">
        <v>120</v>
      </c>
      <c r="I25" s="355">
        <f t="shared" ref="I25:I30" si="21">60*H25/G25</f>
        <v>120</v>
      </c>
      <c r="J25" s="101">
        <f t="shared" ref="J25:J30" si="22">I25/100*A25/100*0.8</f>
        <v>0</v>
      </c>
      <c r="K25" s="340">
        <f t="shared" ref="K25:K30" si="23">J25/E25</f>
        <v>0</v>
      </c>
      <c r="L25" s="348"/>
      <c r="M25" s="341"/>
      <c r="N25" s="356"/>
      <c r="O25" s="331"/>
      <c r="P25" s="331"/>
      <c r="Q25" s="69"/>
      <c r="R25" s="70"/>
      <c r="S25" s="70"/>
      <c r="T25" s="335"/>
      <c r="U25" s="335"/>
      <c r="V25" s="335"/>
      <c r="W25" s="335"/>
      <c r="X25" s="335"/>
      <c r="Y25" s="335"/>
      <c r="Z25" s="335"/>
      <c r="AA25" s="335"/>
    </row>
    <row r="26" spans="1:27" x14ac:dyDescent="0.25">
      <c r="A26" s="128">
        <f t="shared" si="16"/>
        <v>500</v>
      </c>
      <c r="B26" s="128">
        <f t="shared" si="17"/>
        <v>252</v>
      </c>
      <c r="C26" s="331">
        <v>376</v>
      </c>
      <c r="D26" s="353">
        <f t="shared" si="18"/>
        <v>1</v>
      </c>
      <c r="E26" s="343">
        <f t="shared" si="19"/>
        <v>22.56</v>
      </c>
      <c r="F26" s="354">
        <f t="shared" si="20"/>
        <v>22.33</v>
      </c>
      <c r="G26" s="24">
        <v>60</v>
      </c>
      <c r="H26" s="24">
        <v>115</v>
      </c>
      <c r="I26" s="355">
        <f t="shared" si="21"/>
        <v>115</v>
      </c>
      <c r="J26" s="101">
        <f t="shared" si="22"/>
        <v>4.6000000000000005</v>
      </c>
      <c r="K26" s="340">
        <f t="shared" si="23"/>
        <v>0.2039007092198582</v>
      </c>
      <c r="L26" s="348"/>
      <c r="M26" s="341">
        <f>I26/$I$26</f>
        <v>1</v>
      </c>
      <c r="N26" s="356"/>
      <c r="O26" s="331"/>
      <c r="P26" s="331"/>
      <c r="Q26" s="335"/>
      <c r="R26" s="335"/>
      <c r="S26" s="335"/>
      <c r="T26" s="335"/>
      <c r="U26" s="335"/>
      <c r="V26" s="335"/>
      <c r="W26" s="335"/>
      <c r="X26" s="335"/>
      <c r="Y26" s="335"/>
      <c r="Z26" s="335">
        <v>100</v>
      </c>
      <c r="AA26" s="335">
        <f>Z26/400*600</f>
        <v>150</v>
      </c>
    </row>
    <row r="27" spans="1:27" x14ac:dyDescent="0.25">
      <c r="A27" s="128">
        <f t="shared" si="16"/>
        <v>1000</v>
      </c>
      <c r="B27" s="128">
        <f t="shared" si="17"/>
        <v>252</v>
      </c>
      <c r="C27" s="331">
        <v>460</v>
      </c>
      <c r="D27" s="353">
        <f t="shared" si="18"/>
        <v>1</v>
      </c>
      <c r="E27" s="343">
        <f t="shared" si="19"/>
        <v>27.6</v>
      </c>
      <c r="F27" s="354">
        <f t="shared" si="20"/>
        <v>27.37</v>
      </c>
      <c r="G27" s="24">
        <v>60</v>
      </c>
      <c r="H27" s="24">
        <v>110</v>
      </c>
      <c r="I27" s="355">
        <f t="shared" si="21"/>
        <v>110</v>
      </c>
      <c r="J27" s="101">
        <f t="shared" si="22"/>
        <v>8.8000000000000007</v>
      </c>
      <c r="K27" s="340">
        <f t="shared" si="23"/>
        <v>0.31884057971014496</v>
      </c>
      <c r="L27" s="348"/>
      <c r="M27" s="341">
        <f>I27/$I$26</f>
        <v>0.95652173913043481</v>
      </c>
      <c r="N27" s="356"/>
      <c r="O27" s="331"/>
      <c r="P27" s="331"/>
      <c r="Q27" s="335"/>
      <c r="R27" s="335"/>
      <c r="S27" s="335"/>
      <c r="T27" s="335"/>
      <c r="U27" s="335"/>
      <c r="V27" s="335"/>
      <c r="W27" s="335"/>
      <c r="X27" s="335"/>
      <c r="Y27" s="335"/>
      <c r="Z27" s="335">
        <v>200</v>
      </c>
      <c r="AA27" s="335">
        <f>Z27/400*600</f>
        <v>300</v>
      </c>
    </row>
    <row r="28" spans="1:27" x14ac:dyDescent="0.25">
      <c r="A28" s="128">
        <f t="shared" si="16"/>
        <v>3000</v>
      </c>
      <c r="B28" s="128">
        <f t="shared" si="17"/>
        <v>252</v>
      </c>
      <c r="C28" s="331">
        <v>804</v>
      </c>
      <c r="D28" s="353">
        <f t="shared" si="18"/>
        <v>1</v>
      </c>
      <c r="E28" s="343">
        <f t="shared" si="19"/>
        <v>48.24</v>
      </c>
      <c r="F28" s="354">
        <f t="shared" si="20"/>
        <v>48.010000000000005</v>
      </c>
      <c r="G28" s="24">
        <v>60</v>
      </c>
      <c r="H28" s="24">
        <v>100</v>
      </c>
      <c r="I28" s="355">
        <f t="shared" si="21"/>
        <v>100</v>
      </c>
      <c r="J28" s="101">
        <f t="shared" si="22"/>
        <v>24</v>
      </c>
      <c r="K28" s="340">
        <f t="shared" si="23"/>
        <v>0.49751243781094523</v>
      </c>
      <c r="L28" s="348"/>
      <c r="M28" s="341">
        <f>I28/$I$26</f>
        <v>0.86956521739130432</v>
      </c>
      <c r="N28" s="356"/>
      <c r="O28" s="331"/>
      <c r="P28" s="331"/>
      <c r="Q28" s="335"/>
      <c r="R28" s="335"/>
      <c r="S28" s="335"/>
      <c r="T28" s="335"/>
      <c r="U28" s="335"/>
      <c r="V28" s="335"/>
      <c r="W28" s="335"/>
      <c r="X28" s="335"/>
      <c r="Y28" s="335"/>
      <c r="Z28" s="335">
        <v>300</v>
      </c>
      <c r="AA28" s="335">
        <f>Z28/400*600</f>
        <v>450</v>
      </c>
    </row>
    <row r="29" spans="1:27" x14ac:dyDescent="0.25">
      <c r="A29" s="128">
        <f t="shared" si="16"/>
        <v>4000</v>
      </c>
      <c r="B29" s="128">
        <f t="shared" si="17"/>
        <v>252</v>
      </c>
      <c r="C29" s="331">
        <v>996</v>
      </c>
      <c r="D29" s="353">
        <f t="shared" si="18"/>
        <v>1</v>
      </c>
      <c r="E29" s="343">
        <f t="shared" si="19"/>
        <v>59.76</v>
      </c>
      <c r="F29" s="354">
        <f t="shared" si="20"/>
        <v>59.53</v>
      </c>
      <c r="G29" s="24">
        <v>60</v>
      </c>
      <c r="H29" s="24">
        <v>95</v>
      </c>
      <c r="I29" s="355">
        <f t="shared" si="21"/>
        <v>95</v>
      </c>
      <c r="J29" s="101">
        <f t="shared" si="22"/>
        <v>30.400000000000002</v>
      </c>
      <c r="K29" s="340">
        <f t="shared" si="23"/>
        <v>0.50870147255689424</v>
      </c>
      <c r="L29" s="348"/>
      <c r="M29" s="341">
        <f>I29/$I$26</f>
        <v>0.82608695652173914</v>
      </c>
      <c r="N29" s="356"/>
      <c r="O29" s="331"/>
      <c r="P29" s="331"/>
      <c r="Q29" s="335"/>
      <c r="R29" s="335"/>
      <c r="S29" s="335"/>
      <c r="T29" s="335"/>
      <c r="U29" s="335"/>
      <c r="V29" s="335"/>
      <c r="W29" s="335"/>
      <c r="X29" s="335"/>
      <c r="Y29" s="335"/>
      <c r="Z29" s="335">
        <v>400</v>
      </c>
      <c r="AA29" s="335">
        <f>Z29/400*600</f>
        <v>600</v>
      </c>
    </row>
    <row r="30" spans="1:27" x14ac:dyDescent="0.25">
      <c r="A30" s="128">
        <f t="shared" si="16"/>
        <v>5000</v>
      </c>
      <c r="B30" s="128">
        <f t="shared" si="17"/>
        <v>252</v>
      </c>
      <c r="C30" s="331">
        <v>1260</v>
      </c>
      <c r="D30" s="353">
        <f t="shared" si="18"/>
        <v>1</v>
      </c>
      <c r="E30" s="343">
        <f t="shared" si="19"/>
        <v>75.599999999999994</v>
      </c>
      <c r="F30" s="354">
        <f t="shared" si="20"/>
        <v>75.36999999999999</v>
      </c>
      <c r="G30" s="24">
        <v>60</v>
      </c>
      <c r="H30" s="24">
        <v>90</v>
      </c>
      <c r="I30" s="355">
        <f t="shared" si="21"/>
        <v>90</v>
      </c>
      <c r="J30" s="101">
        <f t="shared" si="22"/>
        <v>36</v>
      </c>
      <c r="K30" s="340">
        <f t="shared" si="23"/>
        <v>0.47619047619047622</v>
      </c>
      <c r="L30" s="348"/>
      <c r="M30" s="341">
        <f>I30/$I$26</f>
        <v>0.78260869565217395</v>
      </c>
      <c r="N30" s="356"/>
      <c r="O30" s="331"/>
      <c r="P30" s="331"/>
      <c r="Q30" s="335"/>
      <c r="R30" s="335"/>
      <c r="S30" s="335"/>
      <c r="T30" s="335"/>
      <c r="U30" s="335"/>
      <c r="V30" s="335"/>
      <c r="W30" s="335"/>
      <c r="X30" s="335"/>
      <c r="Y30" s="335"/>
      <c r="Z30" s="335"/>
      <c r="AA30" s="335"/>
    </row>
    <row r="31" spans="1:27" x14ac:dyDescent="0.25">
      <c r="A31" s="74"/>
      <c r="B31" s="128"/>
      <c r="C31" s="331"/>
      <c r="D31" s="331"/>
      <c r="E31" s="343"/>
      <c r="F31" s="354"/>
      <c r="G31" s="24"/>
      <c r="H31" s="24"/>
      <c r="I31" s="355"/>
      <c r="J31" s="101"/>
      <c r="K31" s="348"/>
      <c r="L31" s="348"/>
      <c r="M31" s="341"/>
      <c r="N31" s="356"/>
      <c r="O31" s="331"/>
      <c r="P31" s="331"/>
      <c r="Q31" s="335"/>
      <c r="R31" s="335"/>
      <c r="S31" s="335"/>
      <c r="T31" s="335"/>
      <c r="U31" s="335"/>
      <c r="V31" s="335"/>
      <c r="W31" s="335"/>
      <c r="X31" s="335"/>
      <c r="Y31" s="335"/>
      <c r="Z31" s="335"/>
      <c r="AA31" s="335"/>
    </row>
    <row r="32" spans="1:27" x14ac:dyDescent="0.25">
      <c r="A32" s="128">
        <f t="shared" ref="A32:A37" si="24">Q3</f>
        <v>0</v>
      </c>
      <c r="B32" s="128">
        <f t="shared" ref="B32:B37" si="25">P$6</f>
        <v>368</v>
      </c>
      <c r="C32" s="331">
        <v>410</v>
      </c>
      <c r="D32" s="353">
        <f t="shared" ref="D32:D37" si="26">60/60</f>
        <v>1</v>
      </c>
      <c r="E32" s="343">
        <f t="shared" ref="E32:E37" si="27">60/D32*C32/1000</f>
        <v>24.6</v>
      </c>
      <c r="F32" s="354">
        <f t="shared" ref="F32:F37" si="28">E32-$J$7</f>
        <v>24.37</v>
      </c>
      <c r="G32" s="24">
        <v>60</v>
      </c>
      <c r="H32" s="24">
        <v>170</v>
      </c>
      <c r="I32" s="355">
        <f t="shared" ref="I32:I37" si="29">60*H32/G32</f>
        <v>170</v>
      </c>
      <c r="J32" s="101">
        <f t="shared" ref="J32:J37" si="30">I32/100*A32/100*0.8</f>
        <v>0</v>
      </c>
      <c r="K32" s="340">
        <f t="shared" ref="K32:K37" si="31">J32/E32</f>
        <v>0</v>
      </c>
      <c r="L32" s="348"/>
      <c r="M32" s="341"/>
      <c r="N32" s="356"/>
      <c r="O32" s="331"/>
      <c r="P32" s="331"/>
      <c r="Q32" s="69"/>
      <c r="R32" s="70"/>
      <c r="S32" s="70"/>
      <c r="T32" s="335"/>
      <c r="U32" s="335"/>
      <c r="V32" s="335"/>
      <c r="W32" s="335"/>
      <c r="X32" s="335"/>
      <c r="Y32" s="335"/>
      <c r="Z32" s="335"/>
      <c r="AA32" s="335"/>
    </row>
    <row r="33" spans="1:27" x14ac:dyDescent="0.25">
      <c r="A33" s="128">
        <f t="shared" si="24"/>
        <v>500</v>
      </c>
      <c r="B33" s="128">
        <f t="shared" si="25"/>
        <v>368</v>
      </c>
      <c r="C33" s="331">
        <v>548</v>
      </c>
      <c r="D33" s="353">
        <f t="shared" si="26"/>
        <v>1</v>
      </c>
      <c r="E33" s="343">
        <f t="shared" si="27"/>
        <v>32.880000000000003</v>
      </c>
      <c r="F33" s="354">
        <f t="shared" si="28"/>
        <v>32.650000000000006</v>
      </c>
      <c r="G33" s="24">
        <v>60</v>
      </c>
      <c r="H33" s="24">
        <v>165</v>
      </c>
      <c r="I33" s="355">
        <f t="shared" si="29"/>
        <v>165</v>
      </c>
      <c r="J33" s="101">
        <f t="shared" si="30"/>
        <v>6.6000000000000005</v>
      </c>
      <c r="K33" s="340">
        <f t="shared" si="31"/>
        <v>0.20072992700729927</v>
      </c>
      <c r="L33" s="348"/>
      <c r="M33" s="341">
        <f>I33/$I$33</f>
        <v>1</v>
      </c>
      <c r="N33" s="356"/>
      <c r="O33" s="331"/>
      <c r="P33" s="331"/>
      <c r="Q33" s="335"/>
      <c r="R33" s="335"/>
      <c r="S33" s="335"/>
      <c r="T33" s="335"/>
      <c r="U33" s="335"/>
      <c r="V33" s="335"/>
      <c r="W33" s="335"/>
      <c r="X33" s="335"/>
      <c r="Y33" s="335"/>
      <c r="Z33" s="335">
        <v>100</v>
      </c>
      <c r="AA33" s="335">
        <f>Z33/400*600</f>
        <v>150</v>
      </c>
    </row>
    <row r="34" spans="1:27" x14ac:dyDescent="0.25">
      <c r="A34" s="128">
        <f t="shared" si="24"/>
        <v>1000</v>
      </c>
      <c r="B34" s="128">
        <f t="shared" si="25"/>
        <v>368</v>
      </c>
      <c r="C34" s="331">
        <v>682</v>
      </c>
      <c r="D34" s="353">
        <f t="shared" si="26"/>
        <v>1</v>
      </c>
      <c r="E34" s="343">
        <f t="shared" si="27"/>
        <v>40.92</v>
      </c>
      <c r="F34" s="354">
        <f t="shared" si="28"/>
        <v>40.690000000000005</v>
      </c>
      <c r="G34" s="24">
        <v>60</v>
      </c>
      <c r="H34" s="24">
        <v>160</v>
      </c>
      <c r="I34" s="355">
        <f t="shared" si="29"/>
        <v>160</v>
      </c>
      <c r="J34" s="101">
        <f t="shared" si="30"/>
        <v>12.8</v>
      </c>
      <c r="K34" s="340">
        <f t="shared" si="31"/>
        <v>0.31280547409579668</v>
      </c>
      <c r="L34" s="348"/>
      <c r="M34" s="341">
        <f>I34/$I$33</f>
        <v>0.96969696969696972</v>
      </c>
      <c r="N34" s="356"/>
      <c r="O34" s="331"/>
      <c r="P34" s="331"/>
      <c r="Q34" s="335"/>
      <c r="R34" s="335"/>
      <c r="S34" s="335"/>
      <c r="T34" s="335"/>
      <c r="U34" s="335"/>
      <c r="V34" s="335"/>
      <c r="W34" s="335"/>
      <c r="X34" s="335"/>
      <c r="Y34" s="335"/>
      <c r="Z34" s="335">
        <v>200</v>
      </c>
      <c r="AA34" s="335">
        <f>Z34/400*600</f>
        <v>300</v>
      </c>
    </row>
    <row r="35" spans="1:27" x14ac:dyDescent="0.25">
      <c r="A35" s="128">
        <f t="shared" si="24"/>
        <v>3000</v>
      </c>
      <c r="B35" s="128">
        <f t="shared" si="25"/>
        <v>368</v>
      </c>
      <c r="C35" s="331">
        <v>1132</v>
      </c>
      <c r="D35" s="353">
        <f t="shared" si="26"/>
        <v>1</v>
      </c>
      <c r="E35" s="343">
        <f t="shared" si="27"/>
        <v>67.92</v>
      </c>
      <c r="F35" s="354">
        <f t="shared" si="28"/>
        <v>67.69</v>
      </c>
      <c r="G35" s="24">
        <v>60</v>
      </c>
      <c r="H35" s="24">
        <v>145</v>
      </c>
      <c r="I35" s="355">
        <f t="shared" si="29"/>
        <v>145</v>
      </c>
      <c r="J35" s="101">
        <f t="shared" si="30"/>
        <v>34.800000000000004</v>
      </c>
      <c r="K35" s="340">
        <f t="shared" si="31"/>
        <v>0.51236749116607783</v>
      </c>
      <c r="L35" s="348"/>
      <c r="M35" s="341">
        <f>I35/$I$33</f>
        <v>0.87878787878787878</v>
      </c>
      <c r="N35" s="356"/>
      <c r="O35" s="331"/>
      <c r="P35" s="331"/>
      <c r="Q35" s="335"/>
      <c r="R35" s="335"/>
      <c r="S35" s="335"/>
      <c r="T35" s="335"/>
      <c r="U35" s="335"/>
      <c r="V35" s="335"/>
      <c r="W35" s="335"/>
      <c r="X35" s="335"/>
      <c r="Y35" s="335"/>
      <c r="Z35" s="335">
        <v>300</v>
      </c>
      <c r="AA35" s="335">
        <f>Z35/400*600</f>
        <v>450</v>
      </c>
    </row>
    <row r="36" spans="1:27" x14ac:dyDescent="0.25">
      <c r="A36" s="128">
        <f t="shared" si="24"/>
        <v>4000</v>
      </c>
      <c r="B36" s="128">
        <f t="shared" si="25"/>
        <v>368</v>
      </c>
      <c r="C36" s="331">
        <v>1466</v>
      </c>
      <c r="D36" s="353">
        <f t="shared" si="26"/>
        <v>1</v>
      </c>
      <c r="E36" s="343">
        <f t="shared" si="27"/>
        <v>87.96</v>
      </c>
      <c r="F36" s="354">
        <f t="shared" si="28"/>
        <v>87.72999999999999</v>
      </c>
      <c r="G36" s="24">
        <v>60</v>
      </c>
      <c r="H36" s="24">
        <v>140</v>
      </c>
      <c r="I36" s="355">
        <f t="shared" si="29"/>
        <v>140</v>
      </c>
      <c r="J36" s="101">
        <f t="shared" si="30"/>
        <v>44.800000000000004</v>
      </c>
      <c r="K36" s="340">
        <f t="shared" si="31"/>
        <v>0.50932241928149169</v>
      </c>
      <c r="L36" s="348"/>
      <c r="M36" s="341">
        <f>I36/$I$33</f>
        <v>0.84848484848484851</v>
      </c>
      <c r="N36" s="356"/>
      <c r="O36" s="331"/>
      <c r="P36" s="331"/>
      <c r="Q36" s="335"/>
      <c r="R36" s="335"/>
      <c r="S36" s="335"/>
      <c r="T36" s="335"/>
      <c r="U36" s="335"/>
      <c r="V36" s="335"/>
      <c r="W36" s="335"/>
      <c r="X36" s="335"/>
      <c r="Y36" s="335"/>
      <c r="Z36" s="335">
        <v>400</v>
      </c>
      <c r="AA36" s="335">
        <f>Z36/400*600</f>
        <v>600</v>
      </c>
    </row>
    <row r="37" spans="1:27" x14ac:dyDescent="0.25">
      <c r="A37" s="128">
        <f t="shared" si="24"/>
        <v>5000</v>
      </c>
      <c r="B37" s="128">
        <f t="shared" si="25"/>
        <v>368</v>
      </c>
      <c r="C37" s="331">
        <v>1624</v>
      </c>
      <c r="D37" s="353">
        <f t="shared" si="26"/>
        <v>1</v>
      </c>
      <c r="E37" s="343">
        <f t="shared" si="27"/>
        <v>97.44</v>
      </c>
      <c r="F37" s="354">
        <f t="shared" si="28"/>
        <v>97.21</v>
      </c>
      <c r="G37" s="24">
        <v>60</v>
      </c>
      <c r="H37" s="24">
        <v>135</v>
      </c>
      <c r="I37" s="355">
        <f t="shared" si="29"/>
        <v>135</v>
      </c>
      <c r="J37" s="101">
        <f t="shared" si="30"/>
        <v>54</v>
      </c>
      <c r="K37" s="340">
        <f t="shared" si="31"/>
        <v>0.55418719211822665</v>
      </c>
      <c r="L37" s="348"/>
      <c r="M37" s="341">
        <f>I37/$I$33</f>
        <v>0.81818181818181823</v>
      </c>
      <c r="N37" s="356"/>
      <c r="O37" s="331"/>
      <c r="P37" s="331"/>
      <c r="Q37" s="335"/>
      <c r="R37" s="335"/>
      <c r="S37" s="335"/>
      <c r="T37" s="335"/>
      <c r="U37" s="335"/>
      <c r="V37" s="335"/>
      <c r="W37" s="335"/>
      <c r="X37" s="335"/>
      <c r="Y37" s="335"/>
      <c r="Z37" s="335"/>
      <c r="AA37" s="335"/>
    </row>
    <row r="38" spans="1:27" x14ac:dyDescent="0.25">
      <c r="A38" s="128"/>
      <c r="B38" s="128"/>
      <c r="C38" s="331"/>
      <c r="D38" s="331"/>
      <c r="E38" s="343"/>
      <c r="F38" s="354"/>
      <c r="G38" s="24"/>
      <c r="H38" s="24"/>
      <c r="I38" s="355"/>
      <c r="J38" s="101"/>
      <c r="K38" s="348"/>
      <c r="L38" s="348"/>
      <c r="M38" s="341"/>
      <c r="N38" s="356"/>
      <c r="O38" s="331"/>
      <c r="P38" s="331"/>
      <c r="Q38" s="335"/>
      <c r="R38" s="335"/>
      <c r="S38" s="335"/>
      <c r="T38" s="335"/>
      <c r="U38" s="335"/>
      <c r="V38" s="335"/>
      <c r="W38" s="335"/>
      <c r="X38" s="335"/>
      <c r="Y38" s="335"/>
      <c r="Z38" s="335"/>
      <c r="AA38" s="335"/>
    </row>
    <row r="39" spans="1:27" x14ac:dyDescent="0.25">
      <c r="A39" s="128">
        <f t="shared" ref="A39:A44" si="32">Q3</f>
        <v>0</v>
      </c>
      <c r="B39" s="128">
        <f t="shared" ref="B39:B44" si="33">P$7</f>
        <v>484</v>
      </c>
      <c r="C39" s="331">
        <v>544</v>
      </c>
      <c r="D39" s="353">
        <f t="shared" ref="D39:D44" si="34">60/60</f>
        <v>1</v>
      </c>
      <c r="E39" s="343">
        <f t="shared" ref="E39:E44" si="35">60/D39*C39/1000</f>
        <v>32.64</v>
      </c>
      <c r="F39" s="354">
        <f t="shared" ref="F39:F44" si="36">E39-$J$7</f>
        <v>32.410000000000004</v>
      </c>
      <c r="G39" s="24">
        <v>60</v>
      </c>
      <c r="H39" s="24">
        <v>215</v>
      </c>
      <c r="I39" s="355">
        <f t="shared" ref="I39:I44" si="37">60*H39/G39</f>
        <v>215</v>
      </c>
      <c r="J39" s="101">
        <f t="shared" ref="J39:J44" si="38">I39/100*A39/100*0.8</f>
        <v>0</v>
      </c>
      <c r="K39" s="340">
        <f t="shared" ref="K39:K44" si="39">J39/E39</f>
        <v>0</v>
      </c>
      <c r="L39" s="348"/>
      <c r="M39" s="341"/>
      <c r="N39" s="356"/>
      <c r="O39" s="331"/>
      <c r="P39" s="331"/>
      <c r="Q39" s="69"/>
      <c r="R39" s="70"/>
      <c r="S39" s="70"/>
      <c r="T39" s="335"/>
      <c r="U39" s="335"/>
      <c r="V39" s="335"/>
      <c r="W39" s="335"/>
      <c r="X39" s="335"/>
      <c r="Y39" s="335"/>
      <c r="Z39" s="335"/>
      <c r="AA39" s="335"/>
    </row>
    <row r="40" spans="1:27" x14ac:dyDescent="0.25">
      <c r="A40" s="128">
        <f t="shared" si="32"/>
        <v>500</v>
      </c>
      <c r="B40" s="128">
        <f t="shared" si="33"/>
        <v>484</v>
      </c>
      <c r="C40" s="331">
        <v>671</v>
      </c>
      <c r="D40" s="353">
        <f t="shared" si="34"/>
        <v>1</v>
      </c>
      <c r="E40" s="343">
        <f t="shared" si="35"/>
        <v>40.26</v>
      </c>
      <c r="F40" s="354">
        <f t="shared" si="36"/>
        <v>40.03</v>
      </c>
      <c r="G40" s="24">
        <v>60</v>
      </c>
      <c r="H40" s="24">
        <v>215</v>
      </c>
      <c r="I40" s="355">
        <f t="shared" si="37"/>
        <v>215</v>
      </c>
      <c r="J40" s="101">
        <f t="shared" si="38"/>
        <v>8.6</v>
      </c>
      <c r="K40" s="340">
        <f t="shared" si="39"/>
        <v>0.21361152508693493</v>
      </c>
      <c r="L40" s="348"/>
      <c r="M40" s="341">
        <f>I40/$I$40</f>
        <v>1</v>
      </c>
      <c r="N40" s="356"/>
      <c r="O40" s="331"/>
      <c r="P40" s="331"/>
      <c r="Q40" s="335"/>
      <c r="R40" s="335"/>
      <c r="S40" s="335"/>
      <c r="T40" s="335"/>
      <c r="U40" s="335"/>
      <c r="V40" s="335"/>
      <c r="W40" s="335"/>
      <c r="X40" s="335"/>
      <c r="Y40" s="335"/>
      <c r="Z40" s="335">
        <v>100</v>
      </c>
      <c r="AA40" s="335">
        <f>Z40/400*600</f>
        <v>150</v>
      </c>
    </row>
    <row r="41" spans="1:27" x14ac:dyDescent="0.25">
      <c r="A41" s="128">
        <f t="shared" si="32"/>
        <v>1000</v>
      </c>
      <c r="B41" s="128">
        <f t="shared" si="33"/>
        <v>484</v>
      </c>
      <c r="C41" s="331">
        <v>870</v>
      </c>
      <c r="D41" s="353">
        <f t="shared" si="34"/>
        <v>1</v>
      </c>
      <c r="E41" s="343">
        <f t="shared" si="35"/>
        <v>52.2</v>
      </c>
      <c r="F41" s="354">
        <f t="shared" si="36"/>
        <v>51.970000000000006</v>
      </c>
      <c r="G41" s="24">
        <v>60</v>
      </c>
      <c r="H41" s="24">
        <v>200</v>
      </c>
      <c r="I41" s="355">
        <f t="shared" si="37"/>
        <v>200</v>
      </c>
      <c r="J41" s="101">
        <f t="shared" si="38"/>
        <v>16</v>
      </c>
      <c r="K41" s="340">
        <f t="shared" si="39"/>
        <v>0.3065134099616858</v>
      </c>
      <c r="L41" s="348"/>
      <c r="M41" s="341">
        <f>I41/$I$40</f>
        <v>0.93023255813953487</v>
      </c>
      <c r="N41" s="356"/>
      <c r="O41" s="331"/>
      <c r="P41" s="331"/>
      <c r="Q41" s="335"/>
      <c r="R41" s="335"/>
      <c r="S41" s="335"/>
      <c r="T41" s="335"/>
      <c r="U41" s="335"/>
      <c r="V41" s="335"/>
      <c r="W41" s="335"/>
      <c r="X41" s="335"/>
      <c r="Y41" s="335"/>
      <c r="Z41" s="335">
        <v>200</v>
      </c>
      <c r="AA41" s="335">
        <f>Z41/400*600</f>
        <v>300</v>
      </c>
    </row>
    <row r="42" spans="1:27" x14ac:dyDescent="0.25">
      <c r="A42" s="128">
        <f t="shared" si="32"/>
        <v>3000</v>
      </c>
      <c r="B42" s="128">
        <f t="shared" si="33"/>
        <v>484</v>
      </c>
      <c r="C42" s="331">
        <v>1422</v>
      </c>
      <c r="D42" s="353">
        <f t="shared" si="34"/>
        <v>1</v>
      </c>
      <c r="E42" s="343">
        <f t="shared" si="35"/>
        <v>85.32</v>
      </c>
      <c r="F42" s="354">
        <f t="shared" si="36"/>
        <v>85.089999999999989</v>
      </c>
      <c r="G42" s="24">
        <v>60</v>
      </c>
      <c r="H42" s="24">
        <v>185</v>
      </c>
      <c r="I42" s="355">
        <f t="shared" si="37"/>
        <v>185</v>
      </c>
      <c r="J42" s="101">
        <f t="shared" si="38"/>
        <v>44.400000000000006</v>
      </c>
      <c r="K42" s="340">
        <f t="shared" si="39"/>
        <v>0.5203938115330522</v>
      </c>
      <c r="L42" s="348"/>
      <c r="M42" s="341">
        <f>I42/$I$40</f>
        <v>0.86046511627906974</v>
      </c>
      <c r="N42" s="356"/>
      <c r="O42" s="331"/>
      <c r="P42" s="331"/>
      <c r="Q42" s="335"/>
      <c r="R42" s="335"/>
      <c r="S42" s="335"/>
      <c r="T42" s="335"/>
      <c r="U42" s="335"/>
      <c r="V42" s="335"/>
      <c r="W42" s="335"/>
      <c r="X42" s="335"/>
      <c r="Y42" s="335"/>
      <c r="Z42" s="335">
        <v>300</v>
      </c>
      <c r="AA42" s="335">
        <f>Z42/400*600</f>
        <v>450</v>
      </c>
    </row>
    <row r="43" spans="1:27" x14ac:dyDescent="0.25">
      <c r="A43" s="128">
        <f t="shared" si="32"/>
        <v>4000</v>
      </c>
      <c r="B43" s="128">
        <f t="shared" si="33"/>
        <v>484</v>
      </c>
      <c r="C43" s="331">
        <v>1732</v>
      </c>
      <c r="D43" s="353">
        <f t="shared" si="34"/>
        <v>1</v>
      </c>
      <c r="E43" s="343">
        <f t="shared" si="35"/>
        <v>103.92</v>
      </c>
      <c r="F43" s="354">
        <f t="shared" si="36"/>
        <v>103.69</v>
      </c>
      <c r="G43" s="24">
        <v>60</v>
      </c>
      <c r="H43" s="24">
        <v>180</v>
      </c>
      <c r="I43" s="355">
        <f t="shared" si="37"/>
        <v>180</v>
      </c>
      <c r="J43" s="101">
        <f t="shared" si="38"/>
        <v>57.6</v>
      </c>
      <c r="K43" s="340">
        <f t="shared" si="39"/>
        <v>0.55427251732101612</v>
      </c>
      <c r="L43" s="348"/>
      <c r="M43" s="341">
        <f>I43/$I$40</f>
        <v>0.83720930232558144</v>
      </c>
      <c r="N43" s="356"/>
      <c r="O43" s="331"/>
      <c r="P43" s="331"/>
      <c r="Q43" s="335"/>
      <c r="R43" s="335"/>
      <c r="S43" s="335"/>
      <c r="T43" s="335"/>
      <c r="U43" s="335"/>
      <c r="V43" s="335"/>
      <c r="W43" s="335"/>
      <c r="X43" s="335"/>
      <c r="Y43" s="335"/>
      <c r="Z43" s="335">
        <v>400</v>
      </c>
      <c r="AA43" s="335">
        <f>Z43/400*600</f>
        <v>600</v>
      </c>
    </row>
    <row r="44" spans="1:27" x14ac:dyDescent="0.25">
      <c r="A44" s="128">
        <f t="shared" si="32"/>
        <v>5000</v>
      </c>
      <c r="B44" s="128">
        <f t="shared" si="33"/>
        <v>484</v>
      </c>
      <c r="C44" s="331">
        <v>2112</v>
      </c>
      <c r="D44" s="353">
        <f t="shared" si="34"/>
        <v>1</v>
      </c>
      <c r="E44" s="343">
        <f t="shared" si="35"/>
        <v>126.72</v>
      </c>
      <c r="F44" s="354">
        <f t="shared" si="36"/>
        <v>126.49</v>
      </c>
      <c r="G44" s="24">
        <v>60</v>
      </c>
      <c r="H44" s="24">
        <v>175</v>
      </c>
      <c r="I44" s="355">
        <f t="shared" si="37"/>
        <v>175</v>
      </c>
      <c r="J44" s="101">
        <f t="shared" si="38"/>
        <v>70</v>
      </c>
      <c r="K44" s="340">
        <f t="shared" si="39"/>
        <v>0.55239898989898994</v>
      </c>
      <c r="L44" s="348"/>
      <c r="M44" s="341">
        <f>I44/$I$40</f>
        <v>0.81395348837209303</v>
      </c>
      <c r="N44" s="356"/>
      <c r="O44" s="331"/>
      <c r="P44" s="331"/>
      <c r="Q44" s="335"/>
      <c r="R44" s="335"/>
      <c r="S44" s="335"/>
      <c r="T44" s="335"/>
      <c r="U44" s="335"/>
      <c r="V44" s="335"/>
      <c r="W44" s="335"/>
      <c r="X44" s="335"/>
      <c r="Y44" s="335"/>
      <c r="Z44" s="335"/>
      <c r="AA44" s="335"/>
    </row>
    <row r="45" spans="1:27" x14ac:dyDescent="0.25">
      <c r="A45" s="74"/>
      <c r="B45" s="128"/>
      <c r="C45" s="331"/>
      <c r="D45" s="353"/>
      <c r="E45" s="343"/>
      <c r="F45" s="354"/>
      <c r="G45" s="24"/>
      <c r="H45" s="24"/>
      <c r="I45" s="355"/>
      <c r="J45" s="101"/>
      <c r="K45" s="348"/>
      <c r="L45" s="348"/>
      <c r="M45" s="341"/>
      <c r="N45" s="356"/>
      <c r="O45" s="331"/>
      <c r="P45" s="331"/>
      <c r="Q45" s="335"/>
      <c r="R45" s="335"/>
      <c r="S45" s="335"/>
      <c r="T45" s="335"/>
      <c r="U45" s="335"/>
      <c r="V45" s="335"/>
      <c r="W45" s="335"/>
      <c r="X45" s="335"/>
      <c r="Y45" s="335"/>
      <c r="Z45" s="335"/>
      <c r="AA45" s="335"/>
    </row>
    <row r="46" spans="1:27" x14ac:dyDescent="0.25">
      <c r="A46" s="128">
        <f t="shared" ref="A46:A51" si="40">Q3</f>
        <v>0</v>
      </c>
      <c r="B46" s="128">
        <f t="shared" ref="B46:B51" si="41">P$8</f>
        <v>600</v>
      </c>
      <c r="C46" s="331">
        <v>630</v>
      </c>
      <c r="D46" s="353">
        <f t="shared" ref="D46:D51" si="42">60/60</f>
        <v>1</v>
      </c>
      <c r="E46" s="343">
        <f t="shared" ref="E46:E51" si="43">60/D46*C46/1000</f>
        <v>37.799999999999997</v>
      </c>
      <c r="F46" s="354">
        <f t="shared" ref="F46:F51" si="44">E46-$J$7</f>
        <v>37.57</v>
      </c>
      <c r="G46" s="24">
        <v>60</v>
      </c>
      <c r="H46" s="24">
        <v>280</v>
      </c>
      <c r="I46" s="355">
        <f t="shared" ref="I46:I51" si="45">60*H46/G46</f>
        <v>280</v>
      </c>
      <c r="J46" s="101">
        <f t="shared" ref="J46:J51" si="46">I46/100*A46/100*0.8</f>
        <v>0</v>
      </c>
      <c r="K46" s="340">
        <f t="shared" ref="K46:K51" si="47">J46/E46</f>
        <v>0</v>
      </c>
      <c r="L46" s="348"/>
      <c r="M46" s="341"/>
      <c r="N46" s="356"/>
      <c r="O46" s="331"/>
      <c r="P46" s="331"/>
      <c r="Q46" s="69"/>
      <c r="R46" s="70"/>
      <c r="S46" s="70"/>
      <c r="T46" s="335"/>
      <c r="U46" s="335"/>
      <c r="V46" s="335"/>
      <c r="W46" s="335"/>
      <c r="X46" s="335"/>
      <c r="Y46" s="335"/>
      <c r="Z46" s="335"/>
      <c r="AA46" s="335"/>
    </row>
    <row r="47" spans="1:27" x14ac:dyDescent="0.25">
      <c r="A47" s="128">
        <f t="shared" si="40"/>
        <v>500</v>
      </c>
      <c r="B47" s="128">
        <f t="shared" si="41"/>
        <v>600</v>
      </c>
      <c r="C47" s="331">
        <v>834</v>
      </c>
      <c r="D47" s="353">
        <f t="shared" si="42"/>
        <v>1</v>
      </c>
      <c r="E47" s="343">
        <f t="shared" si="43"/>
        <v>50.04</v>
      </c>
      <c r="F47" s="354">
        <f t="shared" si="44"/>
        <v>49.81</v>
      </c>
      <c r="G47" s="24">
        <v>60</v>
      </c>
      <c r="H47" s="24">
        <v>270</v>
      </c>
      <c r="I47" s="355">
        <f t="shared" si="45"/>
        <v>270</v>
      </c>
      <c r="J47" s="101">
        <f t="shared" si="46"/>
        <v>10.8</v>
      </c>
      <c r="K47" s="340">
        <f t="shared" si="47"/>
        <v>0.21582733812949642</v>
      </c>
      <c r="L47" s="348"/>
      <c r="M47" s="341">
        <f>I47/$I$47</f>
        <v>1</v>
      </c>
      <c r="N47" s="356"/>
      <c r="O47" s="331"/>
      <c r="P47" s="331"/>
      <c r="Q47" s="335"/>
      <c r="R47" s="70"/>
      <c r="S47" s="335"/>
      <c r="T47" s="335"/>
      <c r="U47" s="335"/>
      <c r="V47" s="335"/>
      <c r="W47" s="335"/>
      <c r="X47" s="335"/>
      <c r="Y47" s="335"/>
      <c r="Z47" s="335">
        <v>100</v>
      </c>
      <c r="AA47" s="335">
        <f>Z47/400*600</f>
        <v>150</v>
      </c>
    </row>
    <row r="48" spans="1:27" x14ac:dyDescent="0.25">
      <c r="A48" s="128">
        <f t="shared" si="40"/>
        <v>1000</v>
      </c>
      <c r="B48" s="128">
        <f t="shared" si="41"/>
        <v>600</v>
      </c>
      <c r="C48" s="331">
        <v>998</v>
      </c>
      <c r="D48" s="353">
        <f t="shared" si="42"/>
        <v>1</v>
      </c>
      <c r="E48" s="343">
        <f t="shared" si="43"/>
        <v>59.88</v>
      </c>
      <c r="F48" s="354">
        <f t="shared" si="44"/>
        <v>59.650000000000006</v>
      </c>
      <c r="G48" s="24">
        <v>60</v>
      </c>
      <c r="H48" s="24">
        <v>255</v>
      </c>
      <c r="I48" s="355">
        <f t="shared" si="45"/>
        <v>255</v>
      </c>
      <c r="J48" s="101">
        <f t="shared" si="46"/>
        <v>20.400000000000002</v>
      </c>
      <c r="K48" s="340">
        <f t="shared" si="47"/>
        <v>0.34068136272545091</v>
      </c>
      <c r="L48" s="348"/>
      <c r="M48" s="341">
        <f>I48/$I$47</f>
        <v>0.94444444444444442</v>
      </c>
      <c r="N48" s="356"/>
      <c r="O48" s="331"/>
      <c r="P48" s="331"/>
      <c r="Q48" s="335"/>
      <c r="R48" s="70"/>
      <c r="S48" s="335"/>
      <c r="T48" s="335"/>
      <c r="U48" s="335"/>
      <c r="V48" s="335"/>
      <c r="W48" s="335"/>
      <c r="X48" s="335"/>
      <c r="Y48" s="335"/>
      <c r="Z48" s="335">
        <v>200</v>
      </c>
      <c r="AA48" s="335">
        <f>Z48/400*600</f>
        <v>300</v>
      </c>
    </row>
    <row r="49" spans="1:27" x14ac:dyDescent="0.25">
      <c r="A49" s="128">
        <f t="shared" si="40"/>
        <v>3000</v>
      </c>
      <c r="B49" s="128">
        <f t="shared" si="41"/>
        <v>600</v>
      </c>
      <c r="C49" s="331">
        <v>1796</v>
      </c>
      <c r="D49" s="353">
        <f t="shared" si="42"/>
        <v>1</v>
      </c>
      <c r="E49" s="343">
        <f t="shared" si="43"/>
        <v>107.76</v>
      </c>
      <c r="F49" s="354">
        <f t="shared" si="44"/>
        <v>107.53</v>
      </c>
      <c r="G49" s="24">
        <v>60</v>
      </c>
      <c r="H49" s="24">
        <v>230</v>
      </c>
      <c r="I49" s="355">
        <f t="shared" si="45"/>
        <v>230</v>
      </c>
      <c r="J49" s="101">
        <f t="shared" si="46"/>
        <v>55.199999999999989</v>
      </c>
      <c r="K49" s="340">
        <f t="shared" si="47"/>
        <v>0.51224944320712684</v>
      </c>
      <c r="L49" s="348"/>
      <c r="M49" s="341">
        <f>I49/$I$47</f>
        <v>0.85185185185185186</v>
      </c>
      <c r="N49" s="356"/>
      <c r="O49" s="331"/>
      <c r="P49" s="331"/>
      <c r="Q49" s="335"/>
      <c r="R49" s="70"/>
      <c r="S49" s="335"/>
      <c r="T49" s="335"/>
      <c r="U49" s="335"/>
      <c r="V49" s="335"/>
      <c r="W49" s="335"/>
      <c r="X49" s="335"/>
      <c r="Y49" s="335"/>
      <c r="Z49" s="335">
        <v>300</v>
      </c>
      <c r="AA49" s="335">
        <f>Z49/400*600</f>
        <v>450</v>
      </c>
    </row>
    <row r="50" spans="1:27" x14ac:dyDescent="0.25">
      <c r="A50" s="128">
        <f t="shared" si="40"/>
        <v>4000</v>
      </c>
      <c r="B50" s="128">
        <f t="shared" si="41"/>
        <v>600</v>
      </c>
      <c r="C50" s="331">
        <v>2080</v>
      </c>
      <c r="D50" s="353">
        <f t="shared" si="42"/>
        <v>1</v>
      </c>
      <c r="E50" s="343">
        <f t="shared" si="43"/>
        <v>124.8</v>
      </c>
      <c r="F50" s="354">
        <f t="shared" si="44"/>
        <v>124.57</v>
      </c>
      <c r="G50" s="24">
        <v>60</v>
      </c>
      <c r="H50" s="24">
        <v>225</v>
      </c>
      <c r="I50" s="355">
        <f t="shared" si="45"/>
        <v>225</v>
      </c>
      <c r="J50" s="101">
        <f t="shared" si="46"/>
        <v>72</v>
      </c>
      <c r="K50" s="340">
        <f t="shared" si="47"/>
        <v>0.57692307692307698</v>
      </c>
      <c r="L50" s="348"/>
      <c r="M50" s="341">
        <f>I50/$I$47</f>
        <v>0.83333333333333337</v>
      </c>
      <c r="N50" s="356"/>
      <c r="O50" s="331"/>
      <c r="P50" s="331"/>
      <c r="Q50" s="335"/>
      <c r="R50" s="70"/>
      <c r="S50" s="335"/>
      <c r="T50" s="335"/>
      <c r="U50" s="335"/>
      <c r="V50" s="335"/>
      <c r="W50" s="335"/>
      <c r="X50" s="335"/>
      <c r="Y50" s="335"/>
      <c r="Z50" s="335">
        <v>400</v>
      </c>
      <c r="AA50" s="335">
        <f>Z50/400*600</f>
        <v>600</v>
      </c>
    </row>
    <row r="51" spans="1:27" x14ac:dyDescent="0.25">
      <c r="A51" s="128">
        <f t="shared" si="40"/>
        <v>5000</v>
      </c>
      <c r="B51" s="128">
        <f t="shared" si="41"/>
        <v>600</v>
      </c>
      <c r="C51" s="331">
        <v>2408</v>
      </c>
      <c r="D51" s="353">
        <f t="shared" si="42"/>
        <v>1</v>
      </c>
      <c r="E51" s="343">
        <f t="shared" si="43"/>
        <v>144.47999999999999</v>
      </c>
      <c r="F51" s="354">
        <f t="shared" si="44"/>
        <v>144.25</v>
      </c>
      <c r="G51" s="24">
        <v>60</v>
      </c>
      <c r="H51" s="24">
        <v>215</v>
      </c>
      <c r="I51" s="355">
        <f t="shared" si="45"/>
        <v>215</v>
      </c>
      <c r="J51" s="101">
        <f t="shared" si="46"/>
        <v>86</v>
      </c>
      <c r="K51" s="340">
        <f t="shared" si="47"/>
        <v>0.59523809523809523</v>
      </c>
      <c r="L51" s="348"/>
      <c r="M51" s="341">
        <f>I51/$I$47</f>
        <v>0.79629629629629628</v>
      </c>
      <c r="N51" s="356"/>
      <c r="O51" s="331"/>
      <c r="P51" s="331"/>
      <c r="Q51" s="335"/>
      <c r="R51" s="70"/>
      <c r="S51" s="335"/>
      <c r="T51" s="335"/>
      <c r="U51" s="335"/>
      <c r="V51" s="335"/>
      <c r="W51" s="335"/>
      <c r="X51" s="335"/>
      <c r="Y51" s="335"/>
      <c r="Z51" s="335"/>
      <c r="AA51" s="335"/>
    </row>
    <row r="52" spans="1:27" x14ac:dyDescent="0.25">
      <c r="A52" s="331"/>
      <c r="B52" s="128"/>
      <c r="C52" s="348"/>
      <c r="D52" s="348"/>
      <c r="E52" s="348"/>
      <c r="F52" s="344"/>
      <c r="G52" s="348"/>
      <c r="H52" s="331"/>
      <c r="I52" s="357"/>
      <c r="J52" s="71"/>
      <c r="K52" s="348"/>
      <c r="L52" s="348"/>
      <c r="M52" s="341"/>
      <c r="N52" s="356"/>
      <c r="O52" s="331"/>
      <c r="P52" s="331"/>
      <c r="Q52" s="335"/>
      <c r="R52" s="335"/>
      <c r="S52" s="335"/>
      <c r="T52" s="335"/>
      <c r="U52" s="335"/>
      <c r="V52" s="335"/>
      <c r="W52" s="335"/>
      <c r="X52" s="335"/>
      <c r="Y52" s="335"/>
      <c r="Z52" s="335"/>
      <c r="AA52" s="335"/>
    </row>
    <row r="53" spans="1:27" x14ac:dyDescent="0.25">
      <c r="A53" s="331"/>
      <c r="B53" s="74"/>
      <c r="C53" s="348"/>
      <c r="D53" s="348"/>
      <c r="E53" s="348"/>
      <c r="F53" s="348"/>
      <c r="G53" s="348"/>
      <c r="H53" s="331"/>
      <c r="I53" s="357"/>
      <c r="J53" s="71"/>
      <c r="K53" s="348"/>
      <c r="L53" s="348"/>
      <c r="M53" s="341"/>
      <c r="N53" s="356"/>
      <c r="O53" s="331"/>
      <c r="P53" s="331"/>
      <c r="Q53" s="335"/>
      <c r="R53" s="335"/>
      <c r="S53" s="335"/>
      <c r="T53" s="335"/>
      <c r="U53" s="335"/>
      <c r="V53" s="335"/>
      <c r="W53" s="335"/>
      <c r="X53" s="335"/>
      <c r="Y53" s="335"/>
      <c r="Z53" s="335"/>
      <c r="AA53" s="335"/>
    </row>
    <row r="54" spans="1:27" x14ac:dyDescent="0.25">
      <c r="A54" s="331"/>
      <c r="B54" s="128"/>
      <c r="C54" s="348"/>
      <c r="D54" s="348"/>
      <c r="E54" s="348"/>
      <c r="F54" s="348"/>
      <c r="G54" s="348"/>
      <c r="H54" s="331"/>
      <c r="I54" s="357"/>
      <c r="J54" s="71"/>
      <c r="K54" s="348"/>
      <c r="L54" s="348"/>
      <c r="M54" s="341"/>
      <c r="N54" s="356"/>
      <c r="O54" s="331"/>
      <c r="P54" s="331"/>
      <c r="Q54" s="335"/>
      <c r="R54" s="335"/>
      <c r="S54" s="335"/>
      <c r="T54" s="335"/>
      <c r="U54" s="335"/>
      <c r="V54" s="335"/>
      <c r="W54" s="335"/>
      <c r="X54" s="335"/>
      <c r="Y54" s="335"/>
      <c r="Z54" s="335"/>
      <c r="AA54" s="335"/>
    </row>
    <row r="55" spans="1:27" x14ac:dyDescent="0.25">
      <c r="A55" s="47"/>
      <c r="B55" s="128"/>
      <c r="C55" s="348"/>
      <c r="D55" s="348"/>
      <c r="E55" s="348"/>
      <c r="F55" s="348"/>
      <c r="G55" s="348"/>
      <c r="H55" s="331"/>
      <c r="I55" s="357"/>
      <c r="J55" s="71"/>
      <c r="K55" s="348"/>
      <c r="L55" s="348"/>
      <c r="M55" s="341"/>
      <c r="N55" s="356"/>
      <c r="O55" s="331"/>
      <c r="P55" s="331"/>
      <c r="Q55" s="335"/>
      <c r="R55" s="335"/>
      <c r="S55" s="335"/>
      <c r="T55" s="335"/>
      <c r="U55" s="335"/>
      <c r="V55" s="335"/>
      <c r="W55" s="335"/>
      <c r="X55" s="335"/>
      <c r="Y55" s="335"/>
      <c r="Z55" s="335"/>
      <c r="AA55" s="335"/>
    </row>
    <row r="56" spans="1:27" x14ac:dyDescent="0.25">
      <c r="A56" s="71"/>
      <c r="B56" s="74"/>
      <c r="C56" s="348"/>
      <c r="D56" s="348"/>
      <c r="E56" s="348"/>
      <c r="F56" s="348"/>
      <c r="G56" s="348"/>
      <c r="H56" s="331"/>
      <c r="I56" s="357"/>
      <c r="J56" s="71"/>
      <c r="K56" s="348"/>
      <c r="L56" s="348"/>
      <c r="M56" s="341"/>
      <c r="N56" s="356"/>
      <c r="O56" s="331"/>
      <c r="P56" s="331"/>
      <c r="Q56" s="335"/>
      <c r="R56" s="335"/>
      <c r="S56" s="335"/>
      <c r="T56" s="335"/>
      <c r="U56" s="335"/>
      <c r="V56" s="335"/>
      <c r="W56" s="335"/>
      <c r="X56" s="335"/>
      <c r="Y56" s="335"/>
      <c r="Z56" s="335"/>
      <c r="AA56" s="335"/>
    </row>
    <row r="57" spans="1:27" x14ac:dyDescent="0.25">
      <c r="A57" s="47"/>
      <c r="B57" s="128"/>
      <c r="C57" s="348"/>
      <c r="D57" s="348"/>
      <c r="E57" s="348"/>
      <c r="F57" s="348"/>
      <c r="G57" s="348"/>
      <c r="H57" s="331"/>
      <c r="I57" s="331"/>
      <c r="J57" s="47"/>
      <c r="K57" s="348"/>
      <c r="L57" s="348"/>
      <c r="M57" s="341"/>
      <c r="N57" s="356"/>
      <c r="O57" s="331"/>
      <c r="P57" s="331"/>
      <c r="Q57" s="335"/>
      <c r="R57" s="335"/>
      <c r="S57" s="335"/>
      <c r="T57" s="335"/>
      <c r="U57" s="335"/>
      <c r="V57" s="335"/>
      <c r="W57" s="335"/>
      <c r="X57" s="335"/>
      <c r="Y57" s="335"/>
      <c r="Z57" s="335"/>
      <c r="AA57" s="335"/>
    </row>
    <row r="58" spans="1:27" x14ac:dyDescent="0.25">
      <c r="A58" s="47"/>
      <c r="B58" s="128"/>
      <c r="C58" s="348"/>
      <c r="D58" s="348"/>
      <c r="E58" s="348"/>
      <c r="F58" s="348"/>
      <c r="G58" s="340"/>
      <c r="H58" s="331"/>
      <c r="I58" s="331"/>
      <c r="J58" s="47"/>
      <c r="K58" s="348"/>
      <c r="L58" s="348"/>
      <c r="M58" s="341"/>
      <c r="N58" s="356"/>
      <c r="O58" s="331"/>
      <c r="P58" s="331"/>
      <c r="Q58" s="335"/>
      <c r="R58" s="335"/>
      <c r="S58" s="335"/>
      <c r="T58" s="335"/>
      <c r="U58" s="335"/>
      <c r="V58" s="335"/>
      <c r="W58" s="335"/>
      <c r="X58" s="335"/>
      <c r="Y58" s="335"/>
      <c r="Z58" s="335"/>
      <c r="AA58" s="335"/>
    </row>
    <row r="59" spans="1:27" x14ac:dyDescent="0.25">
      <c r="A59" s="47"/>
      <c r="B59" s="128"/>
      <c r="C59" s="348"/>
      <c r="D59" s="348"/>
      <c r="E59" s="348"/>
      <c r="F59" s="348"/>
      <c r="G59" s="348"/>
      <c r="H59" s="331"/>
      <c r="I59" s="331"/>
      <c r="J59" s="47"/>
      <c r="K59" s="348"/>
      <c r="L59" s="348"/>
      <c r="M59" s="341"/>
      <c r="N59" s="356"/>
      <c r="O59" s="331"/>
      <c r="P59" s="331"/>
      <c r="Q59" s="335"/>
      <c r="R59" s="335"/>
      <c r="S59" s="335"/>
      <c r="T59" s="335"/>
      <c r="U59" s="335"/>
      <c r="V59" s="335"/>
      <c r="W59" s="335"/>
      <c r="X59" s="335"/>
      <c r="Y59" s="335"/>
      <c r="Z59" s="335"/>
      <c r="AA59" s="335"/>
    </row>
    <row r="60" spans="1:27" x14ac:dyDescent="0.25">
      <c r="A60" s="47"/>
      <c r="B60" s="128"/>
      <c r="C60" s="348"/>
      <c r="D60" s="348"/>
      <c r="E60" s="348"/>
      <c r="F60" s="348"/>
      <c r="G60" s="348"/>
      <c r="H60" s="331"/>
      <c r="I60" s="331"/>
      <c r="J60" s="47"/>
      <c r="K60" s="348"/>
      <c r="L60" s="348"/>
      <c r="M60" s="341"/>
      <c r="N60" s="356"/>
      <c r="O60" s="331"/>
      <c r="P60" s="331"/>
      <c r="Q60" s="335"/>
      <c r="R60" s="335"/>
      <c r="S60" s="335"/>
      <c r="T60" s="335"/>
      <c r="U60" s="335"/>
      <c r="V60" s="335"/>
      <c r="W60" s="335"/>
      <c r="X60" s="335"/>
      <c r="Y60" s="335"/>
      <c r="Z60" s="335"/>
      <c r="AA60" s="335"/>
    </row>
    <row r="61" spans="1:27" x14ac:dyDescent="0.25">
      <c r="A61" s="47"/>
      <c r="B61" s="128"/>
      <c r="C61" s="348"/>
      <c r="D61" s="348"/>
      <c r="E61" s="348"/>
      <c r="F61" s="348"/>
      <c r="G61" s="348"/>
      <c r="H61" s="331"/>
      <c r="I61" s="331"/>
      <c r="J61" s="47"/>
      <c r="K61" s="348"/>
      <c r="L61" s="348"/>
      <c r="M61" s="341"/>
      <c r="N61" s="356"/>
      <c r="O61" s="331"/>
      <c r="P61" s="331"/>
      <c r="Q61" s="335"/>
      <c r="R61" s="335"/>
      <c r="S61" s="335"/>
      <c r="T61" s="335"/>
      <c r="U61" s="335"/>
      <c r="V61" s="335"/>
      <c r="W61" s="335"/>
      <c r="X61" s="335"/>
      <c r="Y61" s="335"/>
      <c r="Z61" s="335"/>
      <c r="AA61" s="335"/>
    </row>
    <row r="63" spans="1:27" x14ac:dyDescent="0.25">
      <c r="A63" s="335"/>
      <c r="B63" s="351"/>
      <c r="C63" s="335"/>
      <c r="D63" s="335"/>
      <c r="E63" s="335"/>
      <c r="F63" s="335"/>
      <c r="G63" s="335"/>
      <c r="H63" s="335"/>
      <c r="I63" s="335"/>
      <c r="J63" s="335"/>
      <c r="K63" s="335"/>
      <c r="L63" s="80" t="s">
        <v>18</v>
      </c>
      <c r="M63" s="332"/>
      <c r="N63" s="335" t="s">
        <v>345</v>
      </c>
      <c r="O63" s="335"/>
      <c r="P63" s="335"/>
      <c r="Q63" s="335"/>
      <c r="R63" s="335"/>
      <c r="S63" s="335"/>
      <c r="T63" s="335"/>
      <c r="U63" s="335"/>
      <c r="V63" s="335"/>
      <c r="W63" s="335"/>
      <c r="X63" s="335"/>
      <c r="Y63" s="335"/>
      <c r="Z63" s="335"/>
      <c r="AA63" s="335"/>
    </row>
    <row r="64" spans="1:27" x14ac:dyDescent="0.25">
      <c r="A64" s="335"/>
      <c r="B64" s="351"/>
      <c r="C64" s="335"/>
      <c r="D64" s="335"/>
      <c r="E64" s="335"/>
      <c r="F64" s="335"/>
      <c r="G64" s="335"/>
      <c r="H64" s="335"/>
      <c r="I64" s="335"/>
      <c r="J64" s="335"/>
      <c r="K64" s="79" t="s">
        <v>205</v>
      </c>
      <c r="L64" s="81">
        <f>B11</f>
        <v>20</v>
      </c>
      <c r="M64" s="80">
        <f>B18</f>
        <v>136</v>
      </c>
      <c r="N64" s="80">
        <f>B25</f>
        <v>252</v>
      </c>
      <c r="O64" s="80">
        <f>B32</f>
        <v>368</v>
      </c>
      <c r="P64" s="80">
        <f>B39</f>
        <v>484</v>
      </c>
      <c r="Q64" s="80">
        <f>B46</f>
        <v>600</v>
      </c>
      <c r="R64" s="335"/>
      <c r="S64" s="335"/>
      <c r="T64" s="335"/>
      <c r="U64" s="335"/>
      <c r="V64" s="335"/>
      <c r="W64" s="335"/>
      <c r="X64" s="335"/>
      <c r="Y64" s="335"/>
      <c r="Z64" s="335"/>
      <c r="AA64" s="335"/>
    </row>
    <row r="65" spans="1:18" x14ac:dyDescent="0.25">
      <c r="A65" s="335"/>
      <c r="B65" s="351"/>
      <c r="C65" s="335"/>
      <c r="D65" s="335"/>
      <c r="E65" s="335"/>
      <c r="F65" s="335"/>
      <c r="G65" s="335"/>
      <c r="H65" s="335"/>
      <c r="I65" s="335"/>
      <c r="J65" s="335"/>
      <c r="K65" s="82">
        <f t="shared" ref="K65:K70" si="48">Q3</f>
        <v>0</v>
      </c>
      <c r="L65" s="344">
        <f t="shared" ref="L65:L70" si="49">I11</f>
        <v>10</v>
      </c>
      <c r="M65" s="358">
        <f t="shared" ref="M65:M70" si="50">I18</f>
        <v>65</v>
      </c>
      <c r="N65" s="358">
        <f t="shared" ref="N65:N70" si="51">I25</f>
        <v>120</v>
      </c>
      <c r="O65" s="358">
        <f t="shared" ref="O65:O70" si="52">I32</f>
        <v>170</v>
      </c>
      <c r="P65" s="358">
        <f t="shared" ref="P65:P70" si="53">I39</f>
        <v>215</v>
      </c>
      <c r="Q65" s="358">
        <f t="shared" ref="Q65:Q70" si="54">I46</f>
        <v>280</v>
      </c>
      <c r="R65" s="335"/>
    </row>
    <row r="66" spans="1:18" x14ac:dyDescent="0.25">
      <c r="A66" s="335"/>
      <c r="B66" s="351"/>
      <c r="C66" s="335"/>
      <c r="D66" s="335"/>
      <c r="E66" s="335"/>
      <c r="F66" s="335"/>
      <c r="G66" s="335"/>
      <c r="H66" s="335"/>
      <c r="I66" s="335"/>
      <c r="J66" s="335"/>
      <c r="K66" s="82">
        <f t="shared" si="48"/>
        <v>500</v>
      </c>
      <c r="L66" s="344">
        <f t="shared" si="49"/>
        <v>9.8333333333333339</v>
      </c>
      <c r="M66" s="358">
        <f t="shared" si="50"/>
        <v>65</v>
      </c>
      <c r="N66" s="358">
        <f t="shared" si="51"/>
        <v>115</v>
      </c>
      <c r="O66" s="358">
        <f t="shared" si="52"/>
        <v>165</v>
      </c>
      <c r="P66" s="358">
        <f t="shared" si="53"/>
        <v>215</v>
      </c>
      <c r="Q66" s="358">
        <f t="shared" si="54"/>
        <v>270</v>
      </c>
      <c r="R66" s="335"/>
    </row>
    <row r="67" spans="1:18" x14ac:dyDescent="0.25">
      <c r="A67" s="335"/>
      <c r="B67" s="351"/>
      <c r="C67" s="335"/>
      <c r="D67" s="335"/>
      <c r="E67" s="335"/>
      <c r="F67" s="335"/>
      <c r="G67" s="335"/>
      <c r="H67" s="335"/>
      <c r="I67" s="335"/>
      <c r="J67" s="335"/>
      <c r="K67" s="82">
        <f t="shared" si="48"/>
        <v>1000</v>
      </c>
      <c r="L67" s="344">
        <f t="shared" si="49"/>
        <v>9.5</v>
      </c>
      <c r="M67" s="358">
        <f t="shared" si="50"/>
        <v>65</v>
      </c>
      <c r="N67" s="358">
        <f t="shared" si="51"/>
        <v>110</v>
      </c>
      <c r="O67" s="358">
        <f t="shared" si="52"/>
        <v>160</v>
      </c>
      <c r="P67" s="358">
        <f t="shared" si="53"/>
        <v>200</v>
      </c>
      <c r="Q67" s="358">
        <f t="shared" si="54"/>
        <v>255</v>
      </c>
      <c r="R67" s="335"/>
    </row>
    <row r="68" spans="1:18" x14ac:dyDescent="0.25">
      <c r="A68" s="335"/>
      <c r="B68" s="351"/>
      <c r="C68" s="335"/>
      <c r="D68" s="335"/>
      <c r="E68" s="335"/>
      <c r="F68" s="335"/>
      <c r="G68" s="335"/>
      <c r="H68" s="335"/>
      <c r="I68" s="335"/>
      <c r="J68" s="335"/>
      <c r="K68" s="82">
        <f t="shared" si="48"/>
        <v>3000</v>
      </c>
      <c r="L68" s="344">
        <f t="shared" si="49"/>
        <v>9</v>
      </c>
      <c r="M68" s="358">
        <f t="shared" si="50"/>
        <v>60</v>
      </c>
      <c r="N68" s="358">
        <f t="shared" si="51"/>
        <v>100</v>
      </c>
      <c r="O68" s="358">
        <f t="shared" si="52"/>
        <v>145</v>
      </c>
      <c r="P68" s="358">
        <f t="shared" si="53"/>
        <v>185</v>
      </c>
      <c r="Q68" s="358">
        <f t="shared" si="54"/>
        <v>230</v>
      </c>
      <c r="R68" s="335"/>
    </row>
    <row r="69" spans="1:18" x14ac:dyDescent="0.25">
      <c r="A69" s="335"/>
      <c r="B69" s="351"/>
      <c r="C69" s="335"/>
      <c r="D69" s="335"/>
      <c r="E69" s="335"/>
      <c r="F69" s="335"/>
      <c r="G69" s="335"/>
      <c r="H69" s="335"/>
      <c r="I69" s="335"/>
      <c r="J69" s="335"/>
      <c r="K69" s="82">
        <f t="shared" si="48"/>
        <v>4000</v>
      </c>
      <c r="L69" s="344">
        <f t="shared" si="49"/>
        <v>8.5</v>
      </c>
      <c r="M69" s="358">
        <f t="shared" si="50"/>
        <v>55</v>
      </c>
      <c r="N69" s="358">
        <f t="shared" si="51"/>
        <v>95</v>
      </c>
      <c r="O69" s="358">
        <f t="shared" si="52"/>
        <v>140</v>
      </c>
      <c r="P69" s="358">
        <f t="shared" si="53"/>
        <v>180</v>
      </c>
      <c r="Q69" s="358">
        <f t="shared" si="54"/>
        <v>225</v>
      </c>
      <c r="R69" s="335"/>
    </row>
    <row r="70" spans="1:18" x14ac:dyDescent="0.25">
      <c r="A70" s="335"/>
      <c r="B70" s="351"/>
      <c r="C70" s="335"/>
      <c r="D70" s="335"/>
      <c r="E70" s="335"/>
      <c r="F70" s="335"/>
      <c r="G70" s="335"/>
      <c r="H70" s="335"/>
      <c r="I70" s="335"/>
      <c r="J70" s="335"/>
      <c r="K70" s="82">
        <f t="shared" si="48"/>
        <v>5000</v>
      </c>
      <c r="L70" s="344">
        <f t="shared" si="49"/>
        <v>8</v>
      </c>
      <c r="M70" s="358">
        <f t="shared" si="50"/>
        <v>50</v>
      </c>
      <c r="N70" s="358">
        <f t="shared" si="51"/>
        <v>90</v>
      </c>
      <c r="O70" s="358">
        <f t="shared" si="52"/>
        <v>135</v>
      </c>
      <c r="P70" s="358">
        <f t="shared" si="53"/>
        <v>175</v>
      </c>
      <c r="Q70" s="358">
        <f t="shared" si="54"/>
        <v>215</v>
      </c>
      <c r="R70" s="335"/>
    </row>
    <row r="71" spans="1:18" x14ac:dyDescent="0.25">
      <c r="A71" s="335"/>
      <c r="B71" s="351"/>
      <c r="C71" s="335"/>
      <c r="D71" s="335"/>
      <c r="E71" s="335"/>
      <c r="F71" s="335"/>
      <c r="G71" s="335"/>
      <c r="H71" s="335"/>
      <c r="I71" s="335"/>
      <c r="J71" s="335"/>
      <c r="K71" s="83"/>
      <c r="L71" s="335"/>
      <c r="M71" s="332"/>
      <c r="N71" s="335"/>
      <c r="O71" s="335"/>
      <c r="P71" s="335"/>
      <c r="Q71" s="335"/>
      <c r="R71" s="335"/>
    </row>
    <row r="72" spans="1:18" x14ac:dyDescent="0.25">
      <c r="A72" s="335"/>
      <c r="B72" s="351"/>
      <c r="C72" s="335"/>
      <c r="D72" s="335"/>
      <c r="E72" s="335"/>
      <c r="F72" s="335"/>
      <c r="G72" s="335"/>
      <c r="H72" s="335"/>
      <c r="I72" s="335"/>
      <c r="J72" s="335"/>
      <c r="K72" s="335">
        <f>B80</f>
        <v>40</v>
      </c>
      <c r="L72" s="335">
        <f t="shared" ref="L72:Q72" si="55">_xlfn.FORECAST.LINEAR($B$80,L65:L70,$K$65:$K$70)</f>
        <v>9.9814238190286098</v>
      </c>
      <c r="M72" s="335">
        <f t="shared" si="55"/>
        <v>66.616766467065872</v>
      </c>
      <c r="N72" s="335">
        <f t="shared" si="55"/>
        <v>117.70419161676647</v>
      </c>
      <c r="O72" s="335">
        <f t="shared" si="55"/>
        <v>167.98323353293415</v>
      </c>
      <c r="P72" s="335">
        <f t="shared" si="55"/>
        <v>213.52694610778443</v>
      </c>
      <c r="Q72" s="335">
        <f t="shared" si="55"/>
        <v>273.75608782435131</v>
      </c>
      <c r="R72" s="335" t="s">
        <v>28</v>
      </c>
    </row>
    <row r="73" spans="1:18" x14ac:dyDescent="0.25">
      <c r="A73" s="335"/>
      <c r="B73" s="351"/>
      <c r="C73" s="335"/>
      <c r="D73" s="335"/>
      <c r="E73" s="335"/>
      <c r="F73" s="335"/>
      <c r="G73" s="335"/>
      <c r="H73" s="335"/>
      <c r="I73" s="335"/>
      <c r="J73" s="335" t="s">
        <v>28</v>
      </c>
      <c r="K73" s="359">
        <f>B79</f>
        <v>100</v>
      </c>
      <c r="L73" s="360">
        <f>_xlfn.FORECAST.LINEAR(K73,L64:Q64,L72:Q72)</f>
        <v>216.80522666336168</v>
      </c>
      <c r="M73" s="332" t="s">
        <v>18</v>
      </c>
      <c r="N73" s="335"/>
      <c r="O73" s="335"/>
      <c r="P73" s="335"/>
      <c r="Q73" s="335"/>
      <c r="R73" s="335"/>
    </row>
    <row r="77" spans="1:18" x14ac:dyDescent="0.25">
      <c r="A77" s="49" t="s">
        <v>346</v>
      </c>
      <c r="B77" s="361">
        <v>1230</v>
      </c>
      <c r="C77" s="335" t="s">
        <v>28</v>
      </c>
      <c r="D77" s="335"/>
      <c r="E77" s="335"/>
      <c r="F77" s="335"/>
      <c r="G77" s="335"/>
      <c r="H77" s="335"/>
      <c r="I77" s="335"/>
      <c r="J77" s="335"/>
      <c r="K77" s="335"/>
      <c r="L77" s="335"/>
      <c r="M77" s="332"/>
      <c r="N77" s="335"/>
      <c r="O77" s="335"/>
      <c r="P77" s="335"/>
      <c r="Q77" s="335"/>
      <c r="R77" s="335"/>
    </row>
    <row r="78" spans="1:18" x14ac:dyDescent="0.25">
      <c r="A78" s="335"/>
      <c r="B78" s="351">
        <v>600</v>
      </c>
      <c r="C78" s="335" t="s">
        <v>18</v>
      </c>
      <c r="D78" s="335"/>
      <c r="E78" s="335"/>
      <c r="F78" s="335"/>
      <c r="G78" s="335"/>
      <c r="H78" s="335"/>
      <c r="I78" s="335"/>
      <c r="J78" s="335"/>
      <c r="K78" s="335"/>
      <c r="L78" s="335"/>
      <c r="M78" s="332"/>
      <c r="N78" s="335"/>
      <c r="O78" s="335"/>
      <c r="P78" s="335"/>
      <c r="Q78" s="335"/>
      <c r="R78" s="335"/>
    </row>
    <row r="79" spans="1:18" x14ac:dyDescent="0.25">
      <c r="A79" s="335" t="s">
        <v>349</v>
      </c>
      <c r="B79" s="361">
        <f>Q</f>
        <v>100</v>
      </c>
      <c r="C79" s="335" t="s">
        <v>28</v>
      </c>
      <c r="D79" s="335"/>
      <c r="E79" s="335"/>
      <c r="F79" s="335"/>
      <c r="G79" s="335"/>
      <c r="H79" s="335"/>
      <c r="I79" s="335"/>
      <c r="J79" s="335"/>
      <c r="K79" s="335"/>
      <c r="L79" s="335"/>
      <c r="M79" s="332"/>
      <c r="N79" s="335"/>
      <c r="O79" s="335"/>
      <c r="P79" s="335"/>
      <c r="Q79" s="335"/>
      <c r="R79" s="335"/>
    </row>
    <row r="80" spans="1:18" x14ac:dyDescent="0.25">
      <c r="A80" s="335" t="s">
        <v>350</v>
      </c>
      <c r="B80" s="361">
        <f>Pavg</f>
        <v>40</v>
      </c>
      <c r="C80" s="335">
        <v>5000</v>
      </c>
      <c r="D80" s="335" t="s">
        <v>351</v>
      </c>
      <c r="E80" s="335"/>
      <c r="F80" s="335"/>
      <c r="G80" s="335"/>
      <c r="H80" s="335"/>
      <c r="I80" s="335"/>
      <c r="J80" s="335"/>
      <c r="K80" s="335"/>
      <c r="L80" s="335"/>
      <c r="M80" s="332"/>
      <c r="N80" s="335"/>
      <c r="O80" s="335"/>
      <c r="P80" s="335"/>
      <c r="Q80" s="335"/>
      <c r="R80" s="335"/>
    </row>
    <row r="81" spans="1:10" x14ac:dyDescent="0.25">
      <c r="A81" s="335" t="s">
        <v>352</v>
      </c>
      <c r="B81" s="351">
        <v>0</v>
      </c>
      <c r="C81" s="335" t="s">
        <v>353</v>
      </c>
      <c r="D81" s="335"/>
      <c r="E81" s="335" t="s">
        <v>354</v>
      </c>
      <c r="F81" s="335"/>
      <c r="G81" s="335"/>
      <c r="H81" s="335"/>
      <c r="I81" s="335"/>
      <c r="J81" s="335"/>
    </row>
    <row r="82" spans="1:10" x14ac:dyDescent="0.25">
      <c r="A82" s="335" t="s">
        <v>355</v>
      </c>
      <c r="B82" s="351">
        <f>L73</f>
        <v>216.80522666336168</v>
      </c>
      <c r="C82" s="335"/>
      <c r="D82" s="335"/>
      <c r="E82" s="335"/>
      <c r="F82" s="335"/>
      <c r="G82" s="335"/>
      <c r="H82" s="335"/>
      <c r="I82" s="335"/>
      <c r="J82" s="335"/>
    </row>
    <row r="83" spans="1:10" x14ac:dyDescent="0.25">
      <c r="A83" s="335" t="s">
        <v>356</v>
      </c>
      <c r="B83" s="351">
        <f>(1+(B80/C80*B81))*B82</f>
        <v>216.80522666336168</v>
      </c>
      <c r="C83" s="335"/>
      <c r="D83" s="335"/>
      <c r="E83" s="335"/>
      <c r="F83" s="335"/>
      <c r="G83" s="335"/>
      <c r="H83" s="335"/>
      <c r="I83" s="335"/>
      <c r="J83" s="335"/>
    </row>
    <row r="84" spans="1:10" x14ac:dyDescent="0.25">
      <c r="A84" s="335" t="s">
        <v>357</v>
      </c>
      <c r="B84" s="351"/>
      <c r="C84" s="335"/>
      <c r="D84" s="335"/>
      <c r="E84" s="335"/>
      <c r="F84" s="335"/>
      <c r="G84" s="335"/>
      <c r="H84" s="335"/>
      <c r="I84" s="335"/>
      <c r="J84" s="335"/>
    </row>
    <row r="85" spans="1:10" x14ac:dyDescent="0.25">
      <c r="A85" s="79" t="s">
        <v>205</v>
      </c>
      <c r="B85" s="351"/>
      <c r="C85" s="335"/>
      <c r="D85" s="335"/>
      <c r="E85" s="335" t="s">
        <v>358</v>
      </c>
      <c r="F85" s="335"/>
      <c r="G85" s="335"/>
      <c r="H85" s="335" t="s">
        <v>359</v>
      </c>
      <c r="I85" s="335"/>
      <c r="J85" s="335"/>
    </row>
    <row r="86" spans="1:10" x14ac:dyDescent="0.25">
      <c r="A86" s="80" t="s">
        <v>18</v>
      </c>
      <c r="B86" s="351">
        <v>0.1</v>
      </c>
      <c r="C86" s="81">
        <f>B11</f>
        <v>20</v>
      </c>
      <c r="D86" s="80">
        <f>B18</f>
        <v>136</v>
      </c>
      <c r="E86" s="80">
        <f>B25</f>
        <v>252</v>
      </c>
      <c r="F86" s="80">
        <f>B32</f>
        <v>368</v>
      </c>
      <c r="G86" s="80">
        <f>B39</f>
        <v>484</v>
      </c>
      <c r="H86" s="80">
        <f>B46</f>
        <v>600</v>
      </c>
      <c r="I86" s="335">
        <f t="shared" ref="I86:I92" si="56">H86*10</f>
        <v>6000</v>
      </c>
      <c r="J86" s="335"/>
    </row>
    <row r="87" spans="1:10" x14ac:dyDescent="0.25">
      <c r="A87" s="82">
        <f>Q3</f>
        <v>0</v>
      </c>
      <c r="B87" s="351">
        <f t="shared" ref="B87:B92" si="57">$J$7</f>
        <v>0.22999999999999998</v>
      </c>
      <c r="C87" s="348">
        <f>F11</f>
        <v>2.89</v>
      </c>
      <c r="D87" s="331">
        <f>F18</f>
        <v>9.85</v>
      </c>
      <c r="E87" s="331">
        <f t="shared" ref="E87:E92" si="58">F25</f>
        <v>15.849999999999998</v>
      </c>
      <c r="F87" s="331">
        <f t="shared" ref="F87:F92" si="59">F32</f>
        <v>24.37</v>
      </c>
      <c r="G87" s="331">
        <f t="shared" ref="G87:G92" si="60">F39</f>
        <v>32.410000000000004</v>
      </c>
      <c r="H87" s="331">
        <f t="shared" ref="H87:H92" si="61">F46</f>
        <v>37.57</v>
      </c>
      <c r="I87" s="335">
        <f t="shared" si="56"/>
        <v>375.7</v>
      </c>
      <c r="J87" s="335">
        <f t="shared" ref="J87:J92" ca="1" si="62">_xlfn.FORECAST.LINEAR(__RPM1,OFFSET(B87:H87,0,MATCH(__RPM1,$B$86:$H$86,1)-1,1,2),OFFSET($B$86:$H$86,0,MATCH(__RPM1,$B$86:$H$86,1)-1,1,2))</f>
        <v>14.029580689484222</v>
      </c>
    </row>
    <row r="88" spans="1:10" x14ac:dyDescent="0.25">
      <c r="A88" s="82">
        <f>Q4</f>
        <v>500</v>
      </c>
      <c r="B88" s="351">
        <f t="shared" si="57"/>
        <v>0.22999999999999998</v>
      </c>
      <c r="C88" s="348">
        <f>E12</f>
        <v>4.08</v>
      </c>
      <c r="D88" s="331">
        <f>E19</f>
        <v>13.92</v>
      </c>
      <c r="E88" s="331">
        <f t="shared" si="58"/>
        <v>22.33</v>
      </c>
      <c r="F88" s="331">
        <f t="shared" si="59"/>
        <v>32.650000000000006</v>
      </c>
      <c r="G88" s="331">
        <f t="shared" si="60"/>
        <v>40.03</v>
      </c>
      <c r="H88" s="331">
        <f t="shared" si="61"/>
        <v>49.81</v>
      </c>
      <c r="I88" s="335">
        <f t="shared" si="56"/>
        <v>498.1</v>
      </c>
      <c r="J88" s="335">
        <f t="shared" ca="1" si="62"/>
        <v>19.77837893309372</v>
      </c>
    </row>
    <row r="89" spans="1:10" x14ac:dyDescent="0.25">
      <c r="A89" s="82">
        <f>Q5</f>
        <v>1000</v>
      </c>
      <c r="B89" s="351">
        <f t="shared" si="57"/>
        <v>0.22999999999999998</v>
      </c>
      <c r="C89" s="348">
        <f>E13</f>
        <v>4.8</v>
      </c>
      <c r="D89" s="331">
        <f>E20</f>
        <v>17.52</v>
      </c>
      <c r="E89" s="331">
        <f t="shared" si="58"/>
        <v>27.37</v>
      </c>
      <c r="F89" s="331">
        <f t="shared" si="59"/>
        <v>40.690000000000005</v>
      </c>
      <c r="G89" s="331">
        <f t="shared" si="60"/>
        <v>51.970000000000006</v>
      </c>
      <c r="H89" s="331">
        <f t="shared" si="61"/>
        <v>59.650000000000006</v>
      </c>
      <c r="I89" s="335">
        <f t="shared" si="56"/>
        <v>596.5</v>
      </c>
      <c r="J89" s="335">
        <f t="shared" ca="1" si="62"/>
        <v>24.381478298569935</v>
      </c>
    </row>
    <row r="90" spans="1:10" x14ac:dyDescent="0.25">
      <c r="A90" s="82">
        <f>Q6</f>
        <v>3000</v>
      </c>
      <c r="B90" s="351">
        <f t="shared" si="57"/>
        <v>0.22999999999999998</v>
      </c>
      <c r="C90" s="348">
        <f>E14</f>
        <v>12.24</v>
      </c>
      <c r="D90" s="331">
        <f>E21</f>
        <v>30.72</v>
      </c>
      <c r="E90" s="331">
        <f t="shared" si="58"/>
        <v>48.010000000000005</v>
      </c>
      <c r="F90" s="331">
        <f t="shared" si="59"/>
        <v>67.69</v>
      </c>
      <c r="G90" s="331">
        <f t="shared" si="60"/>
        <v>85.089999999999989</v>
      </c>
      <c r="H90" s="331">
        <f t="shared" si="61"/>
        <v>107.53</v>
      </c>
      <c r="I90" s="335">
        <f t="shared" si="56"/>
        <v>1075.3</v>
      </c>
      <c r="J90" s="335">
        <f t="shared" ca="1" si="62"/>
        <v>42.764158353530377</v>
      </c>
    </row>
    <row r="91" spans="1:10" x14ac:dyDescent="0.25">
      <c r="A91" s="82">
        <f>Q7</f>
        <v>4000</v>
      </c>
      <c r="B91" s="351">
        <f t="shared" si="57"/>
        <v>0.22999999999999998</v>
      </c>
      <c r="C91" s="348">
        <f>E15</f>
        <v>17.760000000000002</v>
      </c>
      <c r="D91" s="331">
        <f>E22</f>
        <v>39.6</v>
      </c>
      <c r="E91" s="331">
        <f t="shared" si="58"/>
        <v>59.53</v>
      </c>
      <c r="F91" s="331">
        <f t="shared" si="59"/>
        <v>87.72999999999999</v>
      </c>
      <c r="G91" s="331">
        <f t="shared" si="60"/>
        <v>103.69</v>
      </c>
      <c r="H91" s="331">
        <f t="shared" si="61"/>
        <v>124.57</v>
      </c>
      <c r="I91" s="335">
        <f t="shared" si="56"/>
        <v>1245.6999999999998</v>
      </c>
      <c r="J91" s="335">
        <f t="shared" ca="1" si="62"/>
        <v>53.483173856903434</v>
      </c>
    </row>
    <row r="92" spans="1:10" x14ac:dyDescent="0.25">
      <c r="A92" s="82">
        <f>Q8+0.1</f>
        <v>5000.1000000000004</v>
      </c>
      <c r="B92" s="351">
        <f t="shared" si="57"/>
        <v>0.22999999999999998</v>
      </c>
      <c r="C92" s="348">
        <f>E16</f>
        <v>23.76</v>
      </c>
      <c r="D92" s="331">
        <f>E23</f>
        <v>51.12</v>
      </c>
      <c r="E92" s="331">
        <f t="shared" si="58"/>
        <v>75.36999999999999</v>
      </c>
      <c r="F92" s="331">
        <f t="shared" si="59"/>
        <v>97.21</v>
      </c>
      <c r="G92" s="331">
        <f t="shared" si="60"/>
        <v>126.49</v>
      </c>
      <c r="H92" s="331">
        <f t="shared" si="61"/>
        <v>144.25</v>
      </c>
      <c r="I92" s="335">
        <f t="shared" si="56"/>
        <v>1442.5</v>
      </c>
      <c r="J92" s="335">
        <f t="shared" ca="1" si="62"/>
        <v>68.012471953332067</v>
      </c>
    </row>
    <row r="95" spans="1:10" x14ac:dyDescent="0.25">
      <c r="A95" s="335" t="s">
        <v>360</v>
      </c>
      <c r="B95" s="362">
        <f>B83</f>
        <v>216.80522666336168</v>
      </c>
      <c r="C95" s="335" t="s">
        <v>18</v>
      </c>
      <c r="D95" s="335"/>
      <c r="E95" s="335"/>
      <c r="F95" s="335"/>
      <c r="G95" s="335"/>
      <c r="H95" s="335"/>
      <c r="I95" s="335"/>
      <c r="J95" s="335"/>
    </row>
    <row r="96" spans="1:10" x14ac:dyDescent="0.25">
      <c r="A96" s="335" t="s">
        <v>361</v>
      </c>
      <c r="B96" s="362">
        <f>B80</f>
        <v>40</v>
      </c>
      <c r="C96" s="335" t="s">
        <v>97</v>
      </c>
      <c r="D96" s="335"/>
      <c r="E96" s="335"/>
      <c r="F96" s="335"/>
      <c r="G96" s="335"/>
      <c r="H96" s="335"/>
      <c r="I96" s="335"/>
      <c r="J96" s="335"/>
    </row>
    <row r="97" spans="1:3" x14ac:dyDescent="0.25">
      <c r="A97" s="335" t="s">
        <v>362</v>
      </c>
      <c r="B97" s="363">
        <f ca="1">_xlfn.FORECAST.LINEAR(Press1,OFFSET(J87:J92,MATCH(Press1,A87:A92,1)-1,0,2),OFFSET(A87:A92,MATCH(Press1,A87:A92,1)-1,0,2))</f>
        <v>14.48948454897298</v>
      </c>
      <c r="C97" s="335" t="s">
        <v>19</v>
      </c>
    </row>
  </sheetData>
  <mergeCells count="3">
    <mergeCell ref="C9:E9"/>
    <mergeCell ref="F9:H9"/>
    <mergeCell ref="L9:N9"/>
  </mergeCells>
  <pageMargins left="0.70866141732283472" right="0.70866141732283472" top="0.74803149606299213" bottom="0.74803149606299213" header="0.31496062992125984" footer="0.31496062992125984"/>
  <pageSetup scale="63" orientation="landscape" r:id="rId1"/>
  <rowBreaks count="1" manualBreakCount="1">
    <brk id="54" max="1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982B6-8D42-4F41-A129-EEE3E5953A33}">
  <sheetPr codeName="Sheet11">
    <tabColor rgb="FFFF0000"/>
  </sheetPr>
  <dimension ref="A1:AA106"/>
  <sheetViews>
    <sheetView topLeftCell="A3" workbookViewId="0">
      <selection activeCell="D18" sqref="D18"/>
    </sheetView>
  </sheetViews>
  <sheetFormatPr defaultColWidth="9.140625" defaultRowHeight="15" x14ac:dyDescent="0.25"/>
  <cols>
    <col min="1" max="1" width="14.7109375" style="40" customWidth="1"/>
    <col min="2" max="2" width="11.28515625" style="77" customWidth="1"/>
    <col min="3" max="3" width="12.42578125" style="40" customWidth="1"/>
    <col min="4" max="4" width="19.140625" style="40" customWidth="1"/>
    <col min="5" max="5" width="13.7109375" style="40" customWidth="1"/>
    <col min="6" max="6" width="14.85546875" style="40" customWidth="1"/>
    <col min="7" max="7" width="13.140625" style="40" customWidth="1"/>
    <col min="8" max="8" width="9.140625" style="40"/>
    <col min="9" max="9" width="12.140625" style="40" customWidth="1"/>
    <col min="10" max="10" width="10.5703125" style="40" customWidth="1"/>
    <col min="11" max="11" width="12" style="40" customWidth="1"/>
    <col min="12" max="12" width="9.140625" style="40" customWidth="1"/>
    <col min="13" max="13" width="9.140625" style="44"/>
    <col min="14" max="16384" width="9.140625" style="40"/>
  </cols>
  <sheetData>
    <row r="1" spans="1:27" x14ac:dyDescent="0.25">
      <c r="B1" s="41" t="s">
        <v>305</v>
      </c>
      <c r="C1" s="42">
        <v>44266</v>
      </c>
      <c r="D1" s="331" t="s">
        <v>367</v>
      </c>
      <c r="E1" s="43"/>
      <c r="F1" s="43"/>
      <c r="M1" s="332"/>
    </row>
    <row r="2" spans="1:27" ht="21" x14ac:dyDescent="0.35">
      <c r="A2" s="45" t="s">
        <v>377</v>
      </c>
      <c r="B2" s="46"/>
      <c r="C2" s="45"/>
      <c r="D2" s="45"/>
      <c r="E2" s="45"/>
      <c r="F2" s="45"/>
      <c r="G2" s="45"/>
      <c r="H2" s="45"/>
      <c r="I2" s="45"/>
      <c r="J2" s="45"/>
      <c r="K2" s="45"/>
      <c r="L2" s="45"/>
      <c r="M2" s="40"/>
      <c r="P2" s="47" t="s">
        <v>309</v>
      </c>
      <c r="Q2" s="49" t="s">
        <v>310</v>
      </c>
    </row>
    <row r="3" spans="1:27" x14ac:dyDescent="0.25">
      <c r="A3" s="47" t="s">
        <v>311</v>
      </c>
      <c r="B3" s="128"/>
      <c r="C3" s="47" t="s">
        <v>372</v>
      </c>
      <c r="D3" s="47"/>
      <c r="E3" s="47"/>
      <c r="F3" s="47"/>
      <c r="G3" s="48"/>
      <c r="H3" s="43"/>
      <c r="I3" s="49"/>
      <c r="K3" s="49"/>
      <c r="L3" s="49"/>
      <c r="M3" s="40"/>
      <c r="P3" s="47">
        <f>1000*0.1</f>
        <v>100</v>
      </c>
      <c r="Q3" s="49">
        <v>0</v>
      </c>
    </row>
    <row r="4" spans="1:27" x14ac:dyDescent="0.25">
      <c r="A4" s="128" t="s">
        <v>313</v>
      </c>
      <c r="B4" s="128"/>
      <c r="C4" s="128">
        <v>0.625</v>
      </c>
      <c r="D4" s="128"/>
      <c r="E4" s="128"/>
      <c r="F4" s="128"/>
      <c r="G4" s="51" t="s">
        <v>314</v>
      </c>
      <c r="H4" s="333" t="s">
        <v>315</v>
      </c>
      <c r="I4" s="182"/>
      <c r="J4" s="183" t="s">
        <v>19</v>
      </c>
      <c r="K4" s="184"/>
      <c r="L4" s="183"/>
      <c r="M4" s="334"/>
      <c r="N4" s="182"/>
      <c r="O4" s="47"/>
      <c r="P4" s="47">
        <f>1000*0.2</f>
        <v>200</v>
      </c>
      <c r="Q4" s="49">
        <v>100</v>
      </c>
      <c r="S4" s="335" t="s">
        <v>316</v>
      </c>
    </row>
    <row r="5" spans="1:27" x14ac:dyDescent="0.25">
      <c r="A5" s="128" t="s">
        <v>317</v>
      </c>
      <c r="B5" s="128"/>
      <c r="C5" s="128" t="s">
        <v>374</v>
      </c>
      <c r="D5" s="128"/>
      <c r="E5" s="128"/>
      <c r="F5" s="128"/>
      <c r="G5" s="52" t="s">
        <v>318</v>
      </c>
      <c r="H5" s="185">
        <v>73.5</v>
      </c>
      <c r="I5" s="184"/>
      <c r="J5" s="182">
        <f>H5/1000*25</f>
        <v>1.8374999999999999</v>
      </c>
      <c r="K5" s="186" t="s">
        <v>319</v>
      </c>
      <c r="L5" s="182"/>
      <c r="M5" s="334"/>
      <c r="N5" s="182"/>
      <c r="O5" s="47"/>
      <c r="P5" s="47">
        <f>1000*0.4</f>
        <v>400</v>
      </c>
      <c r="Q5" s="49">
        <v>250</v>
      </c>
      <c r="S5" s="40">
        <v>300</v>
      </c>
    </row>
    <row r="6" spans="1:27" x14ac:dyDescent="0.25">
      <c r="A6" s="128" t="s">
        <v>320</v>
      </c>
      <c r="B6" s="128"/>
      <c r="C6" s="128">
        <f>0.15-0.014</f>
        <v>0.13599999999999998</v>
      </c>
      <c r="D6" s="128"/>
      <c r="E6" s="128"/>
      <c r="F6" s="128"/>
      <c r="G6" s="51" t="s">
        <v>321</v>
      </c>
      <c r="H6" s="185">
        <v>64.3</v>
      </c>
      <c r="I6" s="184"/>
      <c r="J6" s="182">
        <f>H6/1000*25</f>
        <v>1.6074999999999999</v>
      </c>
      <c r="K6" s="186" t="s">
        <v>319</v>
      </c>
      <c r="L6" s="182"/>
      <c r="M6" s="334"/>
      <c r="N6" s="182"/>
      <c r="O6" s="47"/>
      <c r="P6" s="47">
        <f>1000*0.6</f>
        <v>600</v>
      </c>
      <c r="Q6" s="49">
        <v>500</v>
      </c>
    </row>
    <row r="7" spans="1:27" x14ac:dyDescent="0.25">
      <c r="A7" s="53" t="s">
        <v>322</v>
      </c>
      <c r="B7" s="128"/>
      <c r="C7" s="128" t="s">
        <v>378</v>
      </c>
      <c r="D7" s="128"/>
      <c r="E7" s="128"/>
      <c r="F7" s="128"/>
      <c r="H7" s="182"/>
      <c r="I7" s="182" t="s">
        <v>324</v>
      </c>
      <c r="J7" s="183">
        <f>J5-J6</f>
        <v>0.22999999999999998</v>
      </c>
      <c r="K7" s="183" t="s">
        <v>19</v>
      </c>
      <c r="L7" s="186" t="s">
        <v>325</v>
      </c>
      <c r="M7" s="334"/>
      <c r="N7" s="182"/>
      <c r="O7" s="47"/>
      <c r="P7" s="47">
        <f>1000*0.8</f>
        <v>800</v>
      </c>
      <c r="Q7" s="49">
        <v>750</v>
      </c>
    </row>
    <row r="8" spans="1:27" ht="15.75" thickBot="1" x14ac:dyDescent="0.3">
      <c r="A8" s="53" t="s">
        <v>326</v>
      </c>
      <c r="B8" s="128"/>
      <c r="C8" s="126" t="s">
        <v>371</v>
      </c>
      <c r="D8" s="53"/>
      <c r="E8" s="53"/>
      <c r="F8" s="53"/>
      <c r="G8" s="40" t="s">
        <v>328</v>
      </c>
      <c r="J8" s="50"/>
      <c r="K8" s="50"/>
      <c r="L8" s="50"/>
      <c r="M8" s="336"/>
      <c r="O8" s="54"/>
      <c r="P8" s="54">
        <v>1000</v>
      </c>
      <c r="Q8" s="49">
        <v>1000</v>
      </c>
    </row>
    <row r="9" spans="1:27" x14ac:dyDescent="0.25">
      <c r="A9" s="47" t="s">
        <v>205</v>
      </c>
      <c r="C9" s="394" t="s">
        <v>329</v>
      </c>
      <c r="D9" s="395"/>
      <c r="E9" s="396"/>
      <c r="F9" s="397" t="s">
        <v>330</v>
      </c>
      <c r="G9" s="397"/>
      <c r="H9" s="397"/>
      <c r="I9" s="55" t="s">
        <v>331</v>
      </c>
      <c r="J9" s="56" t="s">
        <v>332</v>
      </c>
      <c r="K9" s="57" t="s">
        <v>333</v>
      </c>
      <c r="L9" s="398"/>
      <c r="M9" s="399"/>
      <c r="N9" s="399"/>
      <c r="O9" s="58"/>
      <c r="P9" s="337" t="s">
        <v>334</v>
      </c>
      <c r="Z9" s="40">
        <v>10</v>
      </c>
      <c r="AA9" s="40">
        <f t="shared" ref="AA9:AA14" si="0">Z9/400*600</f>
        <v>15</v>
      </c>
    </row>
    <row r="10" spans="1:27" ht="15.75" thickBot="1" x14ac:dyDescent="0.3">
      <c r="A10" s="128" t="s">
        <v>8</v>
      </c>
      <c r="B10" s="128" t="s">
        <v>18</v>
      </c>
      <c r="C10" s="53" t="s">
        <v>335</v>
      </c>
      <c r="D10" s="50" t="s">
        <v>336</v>
      </c>
      <c r="E10" s="61" t="s">
        <v>19</v>
      </c>
      <c r="F10" s="62" t="s">
        <v>337</v>
      </c>
      <c r="G10" s="53" t="s">
        <v>338</v>
      </c>
      <c r="H10" s="53" t="s">
        <v>339</v>
      </c>
      <c r="I10" s="64" t="s">
        <v>340</v>
      </c>
      <c r="J10" s="60" t="s">
        <v>19</v>
      </c>
      <c r="K10" s="63" t="s">
        <v>341</v>
      </c>
      <c r="L10" s="63"/>
      <c r="M10" s="65" t="s">
        <v>342</v>
      </c>
      <c r="N10" s="66"/>
      <c r="O10" s="338" t="s">
        <v>343</v>
      </c>
      <c r="P10" s="68" t="s">
        <v>344</v>
      </c>
      <c r="Q10" s="69"/>
      <c r="R10" s="70"/>
      <c r="S10" s="70"/>
      <c r="Z10" s="40">
        <v>50</v>
      </c>
      <c r="AA10" s="40">
        <f t="shared" si="0"/>
        <v>75</v>
      </c>
    </row>
    <row r="11" spans="1:27" x14ac:dyDescent="0.25">
      <c r="A11" s="74">
        <f t="shared" ref="A11:A16" si="1">Q3</f>
        <v>0</v>
      </c>
      <c r="B11" s="128">
        <f t="shared" ref="B11:B16" si="2">P$3</f>
        <v>100</v>
      </c>
      <c r="C11" s="43">
        <v>411</v>
      </c>
      <c r="D11" s="43">
        <v>4</v>
      </c>
      <c r="E11" s="343">
        <f t="shared" ref="E11:E16" si="3">60/D11*C11/1000</f>
        <v>6.165</v>
      </c>
      <c r="F11" s="100">
        <f t="shared" ref="F11:F16" si="4">E11-$J$7</f>
        <v>5.9350000000000005</v>
      </c>
      <c r="G11" s="24">
        <v>37.090000000000003</v>
      </c>
      <c r="H11" s="24">
        <v>300</v>
      </c>
      <c r="I11" s="72">
        <f t="shared" ref="I11:I16" si="5">60*H11/G11</f>
        <v>485.30601240226474</v>
      </c>
      <c r="J11" s="101">
        <f t="shared" ref="J11:J16" si="6">I11/100*A11/100*0.8</f>
        <v>0</v>
      </c>
      <c r="K11" s="340">
        <f t="shared" ref="K11:K16" si="7">J11/E11</f>
        <v>0</v>
      </c>
      <c r="L11" s="41"/>
      <c r="M11" s="341"/>
      <c r="N11" s="73"/>
      <c r="O11" s="342">
        <f t="shared" ref="O11:O16" si="8">B11/S$5</f>
        <v>0.33333333333333331</v>
      </c>
      <c r="P11" s="43">
        <f t="shared" ref="P11:P16" si="9">I11*O11</f>
        <v>161.7686708007549</v>
      </c>
      <c r="Q11" s="69"/>
      <c r="R11" s="70"/>
      <c r="S11" s="70"/>
    </row>
    <row r="12" spans="1:27" x14ac:dyDescent="0.25">
      <c r="A12" s="74">
        <f t="shared" si="1"/>
        <v>100</v>
      </c>
      <c r="B12" s="128">
        <f t="shared" si="2"/>
        <v>100</v>
      </c>
      <c r="C12" s="43">
        <v>620</v>
      </c>
      <c r="D12" s="43">
        <v>4</v>
      </c>
      <c r="E12" s="343">
        <f t="shared" si="3"/>
        <v>9.3000000000000007</v>
      </c>
      <c r="F12" s="100">
        <f t="shared" si="4"/>
        <v>9.07</v>
      </c>
      <c r="G12" s="24">
        <v>42.47</v>
      </c>
      <c r="H12" s="24">
        <v>300</v>
      </c>
      <c r="I12" s="72">
        <f t="shared" si="5"/>
        <v>423.82858488344715</v>
      </c>
      <c r="J12" s="101">
        <f t="shared" si="6"/>
        <v>3.3906286790675773</v>
      </c>
      <c r="K12" s="340">
        <f t="shared" si="7"/>
        <v>0.36458372893199753</v>
      </c>
      <c r="L12" s="41"/>
      <c r="M12" s="341">
        <f>I12/$I$12</f>
        <v>1</v>
      </c>
      <c r="N12" s="73"/>
      <c r="O12" s="342">
        <f t="shared" si="8"/>
        <v>0.33333333333333331</v>
      </c>
      <c r="P12" s="43">
        <f t="shared" si="9"/>
        <v>141.27619496114903</v>
      </c>
      <c r="Z12" s="40">
        <v>100</v>
      </c>
      <c r="AA12" s="40">
        <f t="shared" si="0"/>
        <v>150</v>
      </c>
    </row>
    <row r="13" spans="1:27" x14ac:dyDescent="0.25">
      <c r="A13" s="74">
        <f t="shared" si="1"/>
        <v>250</v>
      </c>
      <c r="B13" s="128">
        <f t="shared" si="2"/>
        <v>100</v>
      </c>
      <c r="C13" s="43">
        <v>776</v>
      </c>
      <c r="D13" s="43">
        <v>4</v>
      </c>
      <c r="E13" s="343">
        <f t="shared" si="3"/>
        <v>11.64</v>
      </c>
      <c r="F13" s="100">
        <f t="shared" si="4"/>
        <v>11.41</v>
      </c>
      <c r="G13" s="24">
        <v>45.26</v>
      </c>
      <c r="H13" s="24">
        <v>300</v>
      </c>
      <c r="I13" s="72">
        <f t="shared" si="5"/>
        <v>397.70216526734424</v>
      </c>
      <c r="J13" s="101">
        <f t="shared" si="6"/>
        <v>7.9540433053468851</v>
      </c>
      <c r="K13" s="340">
        <f t="shared" si="7"/>
        <v>0.68333705372395914</v>
      </c>
      <c r="L13" s="41"/>
      <c r="M13" s="341">
        <f>I13/$I$12</f>
        <v>0.93835616438356162</v>
      </c>
      <c r="N13" s="73"/>
      <c r="O13" s="342">
        <f t="shared" si="8"/>
        <v>0.33333333333333331</v>
      </c>
      <c r="P13" s="43">
        <f t="shared" si="9"/>
        <v>132.56738842244806</v>
      </c>
      <c r="Z13" s="40">
        <v>200</v>
      </c>
      <c r="AA13" s="40">
        <f t="shared" si="0"/>
        <v>300</v>
      </c>
    </row>
    <row r="14" spans="1:27" x14ac:dyDescent="0.25">
      <c r="A14" s="74">
        <f t="shared" si="1"/>
        <v>500</v>
      </c>
      <c r="B14" s="128">
        <f t="shared" si="2"/>
        <v>100</v>
      </c>
      <c r="C14" s="43">
        <v>904</v>
      </c>
      <c r="D14" s="43">
        <v>4</v>
      </c>
      <c r="E14" s="343">
        <f t="shared" si="3"/>
        <v>13.56</v>
      </c>
      <c r="F14" s="100">
        <f t="shared" si="4"/>
        <v>13.33</v>
      </c>
      <c r="G14" s="24">
        <v>49.49</v>
      </c>
      <c r="H14" s="24">
        <v>300</v>
      </c>
      <c r="I14" s="72">
        <f t="shared" si="5"/>
        <v>363.70984037179227</v>
      </c>
      <c r="J14" s="101">
        <f t="shared" si="6"/>
        <v>14.548393614871692</v>
      </c>
      <c r="K14" s="340">
        <f t="shared" si="7"/>
        <v>1.0728903845775584</v>
      </c>
      <c r="L14" s="41"/>
      <c r="M14" s="341">
        <f>I14/$I$12</f>
        <v>0.85815316225500093</v>
      </c>
      <c r="N14" s="73"/>
      <c r="O14" s="342">
        <f t="shared" si="8"/>
        <v>0.33333333333333331</v>
      </c>
      <c r="P14" s="43">
        <f t="shared" si="9"/>
        <v>121.23661345726408</v>
      </c>
      <c r="Z14" s="40">
        <v>300</v>
      </c>
      <c r="AA14" s="40">
        <f t="shared" si="0"/>
        <v>450</v>
      </c>
    </row>
    <row r="15" spans="1:27" x14ac:dyDescent="0.25">
      <c r="A15" s="74">
        <f t="shared" si="1"/>
        <v>750</v>
      </c>
      <c r="B15" s="128">
        <f t="shared" si="2"/>
        <v>100</v>
      </c>
      <c r="C15" s="43">
        <v>1166</v>
      </c>
      <c r="D15" s="43">
        <v>4</v>
      </c>
      <c r="E15" s="343">
        <f t="shared" si="3"/>
        <v>17.489999999999998</v>
      </c>
      <c r="F15" s="100">
        <f t="shared" si="4"/>
        <v>17.259999999999998</v>
      </c>
      <c r="G15" s="24">
        <v>53.73</v>
      </c>
      <c r="H15" s="24">
        <v>300</v>
      </c>
      <c r="I15" s="72">
        <f t="shared" si="5"/>
        <v>335.00837520938023</v>
      </c>
      <c r="J15" s="101">
        <f t="shared" si="6"/>
        <v>20.100502512562816</v>
      </c>
      <c r="K15" s="340">
        <f t="shared" si="7"/>
        <v>1.1492568617817507</v>
      </c>
      <c r="L15" s="41"/>
      <c r="M15" s="341">
        <f>I15/$I$12</f>
        <v>0.79043364973013208</v>
      </c>
      <c r="N15" s="73"/>
      <c r="O15" s="342">
        <f t="shared" si="8"/>
        <v>0.33333333333333331</v>
      </c>
      <c r="P15" s="43">
        <f t="shared" si="9"/>
        <v>111.66945840312674</v>
      </c>
      <c r="Z15" s="40">
        <v>400</v>
      </c>
      <c r="AA15" s="40">
        <f>Z15/400*600</f>
        <v>600</v>
      </c>
    </row>
    <row r="16" spans="1:27" x14ac:dyDescent="0.25">
      <c r="A16" s="74">
        <f t="shared" si="1"/>
        <v>1000</v>
      </c>
      <c r="B16" s="128">
        <f t="shared" si="2"/>
        <v>100</v>
      </c>
      <c r="C16" s="43">
        <v>1560</v>
      </c>
      <c r="D16" s="43">
        <v>4</v>
      </c>
      <c r="E16" s="343">
        <f t="shared" si="3"/>
        <v>23.4</v>
      </c>
      <c r="F16" s="100">
        <f t="shared" si="4"/>
        <v>23.169999999999998</v>
      </c>
      <c r="G16" s="24">
        <v>61</v>
      </c>
      <c r="H16" s="24">
        <v>300</v>
      </c>
      <c r="I16" s="72">
        <f t="shared" si="5"/>
        <v>295.08196721311475</v>
      </c>
      <c r="J16" s="101">
        <f t="shared" si="6"/>
        <v>23.606557377049185</v>
      </c>
      <c r="K16" s="340">
        <f t="shared" si="7"/>
        <v>1.0088272383354353</v>
      </c>
      <c r="L16" s="41"/>
      <c r="M16" s="341">
        <f>I16/$I$12</f>
        <v>0.69622950819672125</v>
      </c>
      <c r="N16" s="73"/>
      <c r="O16" s="342">
        <f t="shared" si="8"/>
        <v>0.33333333333333331</v>
      </c>
      <c r="P16" s="43">
        <f t="shared" si="9"/>
        <v>98.360655737704917</v>
      </c>
    </row>
    <row r="17" spans="1:27" x14ac:dyDescent="0.25">
      <c r="A17" s="74"/>
      <c r="B17" s="74"/>
      <c r="C17" s="43"/>
      <c r="D17" s="43"/>
      <c r="E17" s="343"/>
      <c r="F17" s="100"/>
      <c r="G17" s="24"/>
      <c r="H17" s="24"/>
      <c r="I17" s="72"/>
      <c r="J17" s="101"/>
      <c r="K17" s="41"/>
      <c r="L17" s="41"/>
      <c r="M17" s="341"/>
      <c r="N17" s="73"/>
      <c r="O17" s="342"/>
      <c r="P17" s="43"/>
    </row>
    <row r="18" spans="1:27" x14ac:dyDescent="0.25">
      <c r="A18" s="74">
        <f t="shared" ref="A18:A23" si="10">Q3</f>
        <v>0</v>
      </c>
      <c r="B18" s="74">
        <f t="shared" ref="B18:B23" si="11">P$4</f>
        <v>200</v>
      </c>
      <c r="C18" s="43">
        <v>820</v>
      </c>
      <c r="D18" s="43">
        <v>4</v>
      </c>
      <c r="E18" s="343">
        <f t="shared" ref="E18:E23" si="12">60/D18*C18/1000</f>
        <v>12.3</v>
      </c>
      <c r="F18" s="100">
        <f t="shared" ref="F18:F23" si="13">E18-$J$7</f>
        <v>12.07</v>
      </c>
      <c r="G18" s="24">
        <v>59.62</v>
      </c>
      <c r="H18" s="24">
        <v>500</v>
      </c>
      <c r="I18" s="72">
        <f t="shared" ref="I18:I23" si="14">60*H18/G18</f>
        <v>503.1868500503187</v>
      </c>
      <c r="J18" s="101">
        <f t="shared" ref="J18:J23" si="15">I18/100*A18/100*0.8</f>
        <v>0</v>
      </c>
      <c r="K18" s="340">
        <f t="shared" ref="K18:K23" si="16">J18/E18</f>
        <v>0</v>
      </c>
      <c r="L18" s="41"/>
      <c r="M18" s="341"/>
      <c r="N18" s="73"/>
      <c r="O18" s="342">
        <f t="shared" ref="O18:O23" si="17">B18/S$5</f>
        <v>0.66666666666666663</v>
      </c>
      <c r="P18" s="43">
        <f t="shared" ref="P18:P23" si="18">I18*O18</f>
        <v>335.4579000335458</v>
      </c>
      <c r="Q18" s="69"/>
      <c r="R18" s="70"/>
      <c r="S18" s="70"/>
    </row>
    <row r="19" spans="1:27" x14ac:dyDescent="0.25">
      <c r="A19" s="74">
        <f t="shared" si="10"/>
        <v>100</v>
      </c>
      <c r="B19" s="74">
        <f t="shared" si="11"/>
        <v>200</v>
      </c>
      <c r="C19" s="43">
        <v>1231</v>
      </c>
      <c r="D19" s="43">
        <v>4</v>
      </c>
      <c r="E19" s="343">
        <f t="shared" si="12"/>
        <v>18.465</v>
      </c>
      <c r="F19" s="100">
        <f t="shared" si="13"/>
        <v>18.234999999999999</v>
      </c>
      <c r="G19" s="24">
        <v>69</v>
      </c>
      <c r="H19" s="24">
        <v>500</v>
      </c>
      <c r="I19" s="72">
        <f t="shared" si="14"/>
        <v>434.78260869565219</v>
      </c>
      <c r="J19" s="101">
        <f t="shared" si="15"/>
        <v>3.4782608695652173</v>
      </c>
      <c r="K19" s="340">
        <f t="shared" si="16"/>
        <v>0.18837047763689235</v>
      </c>
      <c r="L19" s="41"/>
      <c r="M19" s="341">
        <f>I19/$I$19</f>
        <v>1</v>
      </c>
      <c r="N19" s="73"/>
      <c r="O19" s="342">
        <f t="shared" si="17"/>
        <v>0.66666666666666663</v>
      </c>
      <c r="P19" s="43">
        <f t="shared" si="18"/>
        <v>289.85507246376812</v>
      </c>
      <c r="Z19" s="40">
        <v>100</v>
      </c>
      <c r="AA19" s="40">
        <f>Z19/400*600</f>
        <v>150</v>
      </c>
    </row>
    <row r="20" spans="1:27" x14ac:dyDescent="0.25">
      <c r="A20" s="74">
        <f t="shared" si="10"/>
        <v>250</v>
      </c>
      <c r="B20" s="74">
        <f t="shared" si="11"/>
        <v>200</v>
      </c>
      <c r="C20" s="43">
        <v>1546</v>
      </c>
      <c r="D20" s="43">
        <v>4</v>
      </c>
      <c r="E20" s="343">
        <f t="shared" si="12"/>
        <v>23.19</v>
      </c>
      <c r="F20" s="100">
        <f t="shared" si="13"/>
        <v>22.96</v>
      </c>
      <c r="G20" s="24">
        <v>74</v>
      </c>
      <c r="H20" s="24">
        <v>500</v>
      </c>
      <c r="I20" s="72">
        <f t="shared" si="14"/>
        <v>405.40540540540542</v>
      </c>
      <c r="J20" s="101">
        <f t="shared" si="15"/>
        <v>8.1081081081081088</v>
      </c>
      <c r="K20" s="340">
        <f t="shared" si="16"/>
        <v>0.34963812454109999</v>
      </c>
      <c r="L20" s="41"/>
      <c r="M20" s="341">
        <f>I20/$I$19</f>
        <v>0.93243243243243246</v>
      </c>
      <c r="N20" s="73"/>
      <c r="O20" s="342">
        <f t="shared" si="17"/>
        <v>0.66666666666666663</v>
      </c>
      <c r="P20" s="43">
        <f t="shared" si="18"/>
        <v>270.27027027027026</v>
      </c>
      <c r="Z20" s="40">
        <v>200</v>
      </c>
      <c r="AA20" s="40">
        <f>Z20/400*600</f>
        <v>300</v>
      </c>
    </row>
    <row r="21" spans="1:27" x14ac:dyDescent="0.25">
      <c r="A21" s="74">
        <f t="shared" si="10"/>
        <v>500</v>
      </c>
      <c r="B21" s="74">
        <f t="shared" si="11"/>
        <v>200</v>
      </c>
      <c r="C21" s="43">
        <v>1909</v>
      </c>
      <c r="D21" s="43">
        <v>4</v>
      </c>
      <c r="E21" s="343">
        <f t="shared" si="12"/>
        <v>28.635000000000002</v>
      </c>
      <c r="F21" s="100">
        <f t="shared" si="13"/>
        <v>28.405000000000001</v>
      </c>
      <c r="G21" s="24">
        <v>81.709999999999994</v>
      </c>
      <c r="H21" s="24">
        <v>500</v>
      </c>
      <c r="I21" s="72">
        <f t="shared" si="14"/>
        <v>367.1521233631135</v>
      </c>
      <c r="J21" s="101">
        <f t="shared" si="15"/>
        <v>14.686084934524542</v>
      </c>
      <c r="K21" s="340">
        <f t="shared" si="16"/>
        <v>0.51287183288020055</v>
      </c>
      <c r="L21" s="41"/>
      <c r="M21" s="341">
        <f>I21/$I$19</f>
        <v>0.84444988373516106</v>
      </c>
      <c r="N21" s="73"/>
      <c r="O21" s="342">
        <f t="shared" si="17"/>
        <v>0.66666666666666663</v>
      </c>
      <c r="P21" s="43">
        <f t="shared" si="18"/>
        <v>244.76808224207565</v>
      </c>
      <c r="Z21" s="40">
        <v>300</v>
      </c>
      <c r="AA21" s="40">
        <f>Z21/400*600</f>
        <v>450</v>
      </c>
    </row>
    <row r="22" spans="1:27" x14ac:dyDescent="0.25">
      <c r="A22" s="74">
        <f t="shared" si="10"/>
        <v>750</v>
      </c>
      <c r="B22" s="74">
        <f t="shared" si="11"/>
        <v>200</v>
      </c>
      <c r="C22" s="43">
        <v>2400</v>
      </c>
      <c r="D22" s="43">
        <v>4</v>
      </c>
      <c r="E22" s="343">
        <f t="shared" si="12"/>
        <v>36</v>
      </c>
      <c r="F22" s="100">
        <f t="shared" si="13"/>
        <v>35.770000000000003</v>
      </c>
      <c r="G22" s="24">
        <v>90</v>
      </c>
      <c r="H22" s="24">
        <v>500</v>
      </c>
      <c r="I22" s="72">
        <f t="shared" si="14"/>
        <v>333.33333333333331</v>
      </c>
      <c r="J22" s="101">
        <f t="shared" si="15"/>
        <v>20</v>
      </c>
      <c r="K22" s="340">
        <f t="shared" si="16"/>
        <v>0.55555555555555558</v>
      </c>
      <c r="L22" s="41"/>
      <c r="M22" s="341">
        <f>I22/$I$19</f>
        <v>0.76666666666666661</v>
      </c>
      <c r="N22" s="73"/>
      <c r="O22" s="342">
        <f t="shared" si="17"/>
        <v>0.66666666666666663</v>
      </c>
      <c r="P22" s="43">
        <f t="shared" si="18"/>
        <v>222.2222222222222</v>
      </c>
      <c r="Z22" s="40">
        <v>400</v>
      </c>
      <c r="AA22" s="40">
        <f>Z22/400*600</f>
        <v>600</v>
      </c>
    </row>
    <row r="23" spans="1:27" x14ac:dyDescent="0.25">
      <c r="A23" s="74">
        <f t="shared" si="10"/>
        <v>1000</v>
      </c>
      <c r="B23" s="74">
        <f t="shared" si="11"/>
        <v>200</v>
      </c>
      <c r="C23" s="43">
        <v>3074</v>
      </c>
      <c r="D23" s="43">
        <v>4</v>
      </c>
      <c r="E23" s="343">
        <f t="shared" si="12"/>
        <v>46.11</v>
      </c>
      <c r="F23" s="100">
        <f t="shared" si="13"/>
        <v>45.88</v>
      </c>
      <c r="G23" s="24">
        <v>102.72</v>
      </c>
      <c r="H23" s="24">
        <v>500</v>
      </c>
      <c r="I23" s="72">
        <f t="shared" si="14"/>
        <v>292.05607476635515</v>
      </c>
      <c r="J23" s="101">
        <f t="shared" si="15"/>
        <v>23.364485981308412</v>
      </c>
      <c r="K23" s="340">
        <f t="shared" si="16"/>
        <v>0.50671190590562598</v>
      </c>
      <c r="L23" s="41"/>
      <c r="M23" s="341">
        <f>I23/$I$19</f>
        <v>0.67172897196261683</v>
      </c>
      <c r="N23" s="73"/>
      <c r="O23" s="342">
        <f t="shared" si="17"/>
        <v>0.66666666666666663</v>
      </c>
      <c r="P23" s="43">
        <f t="shared" si="18"/>
        <v>194.70404984423675</v>
      </c>
    </row>
    <row r="24" spans="1:27" x14ac:dyDescent="0.25">
      <c r="A24" s="128"/>
      <c r="B24" s="128"/>
      <c r="C24" s="43"/>
      <c r="D24" s="43"/>
      <c r="E24" s="343"/>
      <c r="F24" s="100"/>
      <c r="G24" s="24"/>
      <c r="H24" s="24"/>
      <c r="I24" s="72"/>
      <c r="J24" s="101"/>
      <c r="K24" s="41"/>
      <c r="L24" s="41"/>
      <c r="M24" s="341"/>
      <c r="N24" s="73"/>
      <c r="O24" s="43"/>
      <c r="P24" s="43"/>
    </row>
    <row r="25" spans="1:27" x14ac:dyDescent="0.25">
      <c r="A25" s="128">
        <f t="shared" ref="A25:A30" si="19">Q3</f>
        <v>0</v>
      </c>
      <c r="B25" s="128">
        <f t="shared" ref="B25:B30" si="20">P$5</f>
        <v>400</v>
      </c>
      <c r="C25" s="43">
        <v>397</v>
      </c>
      <c r="D25" s="43">
        <v>1</v>
      </c>
      <c r="E25" s="343">
        <f t="shared" ref="E25:E30" si="21">60/D25*C25/1000</f>
        <v>23.82</v>
      </c>
      <c r="F25" s="100">
        <f t="shared" ref="F25:F30" si="22">E25-$J$7</f>
        <v>23.59</v>
      </c>
      <c r="G25" s="24">
        <v>66.38</v>
      </c>
      <c r="H25" s="24">
        <v>800</v>
      </c>
      <c r="I25" s="72">
        <f t="shared" ref="I25:I30" si="23">60*H25/G25</f>
        <v>723.1093702922567</v>
      </c>
      <c r="J25" s="101">
        <f t="shared" ref="J25:J30" si="24">I25/100*A25/100*0.8</f>
        <v>0</v>
      </c>
      <c r="K25" s="340">
        <f t="shared" ref="K25:K30" si="25">J25/E25</f>
        <v>0</v>
      </c>
      <c r="L25" s="41"/>
      <c r="M25" s="341"/>
      <c r="N25" s="73"/>
      <c r="O25" s="43"/>
      <c r="P25" s="43"/>
      <c r="Q25" s="69"/>
      <c r="R25" s="70"/>
      <c r="S25" s="70"/>
    </row>
    <row r="26" spans="1:27" x14ac:dyDescent="0.25">
      <c r="A26" s="128">
        <f t="shared" si="19"/>
        <v>100</v>
      </c>
      <c r="B26" s="128">
        <f t="shared" si="20"/>
        <v>400</v>
      </c>
      <c r="C26" s="43">
        <v>570</v>
      </c>
      <c r="D26" s="43">
        <v>1</v>
      </c>
      <c r="E26" s="343">
        <f t="shared" si="21"/>
        <v>34.200000000000003</v>
      </c>
      <c r="F26" s="100">
        <f t="shared" si="22"/>
        <v>33.970000000000006</v>
      </c>
      <c r="G26" s="24">
        <v>68.88</v>
      </c>
      <c r="H26" s="24">
        <v>800</v>
      </c>
      <c r="I26" s="72">
        <f t="shared" si="23"/>
        <v>696.8641114982579</v>
      </c>
      <c r="J26" s="101">
        <f t="shared" si="24"/>
        <v>5.5749128919860631</v>
      </c>
      <c r="K26" s="340">
        <f t="shared" si="25"/>
        <v>0.16300914888848136</v>
      </c>
      <c r="L26" s="41"/>
      <c r="M26" s="341">
        <f>I26/$I$26</f>
        <v>1</v>
      </c>
      <c r="N26" s="73"/>
      <c r="O26" s="43"/>
      <c r="P26" s="43"/>
      <c r="Z26" s="40">
        <v>100</v>
      </c>
      <c r="AA26" s="40">
        <f>Z26/400*600</f>
        <v>150</v>
      </c>
    </row>
    <row r="27" spans="1:27" x14ac:dyDescent="0.25">
      <c r="A27" s="128">
        <f t="shared" si="19"/>
        <v>250</v>
      </c>
      <c r="B27" s="128">
        <f t="shared" si="20"/>
        <v>400</v>
      </c>
      <c r="C27" s="43">
        <v>744</v>
      </c>
      <c r="D27" s="43">
        <v>1</v>
      </c>
      <c r="E27" s="343">
        <f t="shared" si="21"/>
        <v>44.64</v>
      </c>
      <c r="F27" s="100">
        <f t="shared" si="22"/>
        <v>44.410000000000004</v>
      </c>
      <c r="G27" s="24">
        <v>75.62</v>
      </c>
      <c r="H27" s="24">
        <v>800</v>
      </c>
      <c r="I27" s="72">
        <f t="shared" si="23"/>
        <v>634.75271092303615</v>
      </c>
      <c r="J27" s="101">
        <f t="shared" si="24"/>
        <v>12.695054218460722</v>
      </c>
      <c r="K27" s="340">
        <f t="shared" si="25"/>
        <v>0.28438741528809863</v>
      </c>
      <c r="L27" s="41"/>
      <c r="M27" s="341">
        <f>I27/$I$26</f>
        <v>0.91087014017455681</v>
      </c>
      <c r="N27" s="73"/>
      <c r="O27" s="43"/>
      <c r="P27" s="43"/>
      <c r="Z27" s="40">
        <v>200</v>
      </c>
      <c r="AA27" s="40">
        <f>Z27/400*600</f>
        <v>300</v>
      </c>
    </row>
    <row r="28" spans="1:27" x14ac:dyDescent="0.25">
      <c r="A28" s="128">
        <f t="shared" si="19"/>
        <v>500</v>
      </c>
      <c r="B28" s="128">
        <f t="shared" si="20"/>
        <v>400</v>
      </c>
      <c r="C28" s="43">
        <v>997</v>
      </c>
      <c r="D28" s="43">
        <v>1</v>
      </c>
      <c r="E28" s="343">
        <f t="shared" si="21"/>
        <v>59.82</v>
      </c>
      <c r="F28" s="100">
        <f t="shared" si="22"/>
        <v>59.59</v>
      </c>
      <c r="G28" s="24">
        <v>88.59</v>
      </c>
      <c r="H28" s="24">
        <v>800</v>
      </c>
      <c r="I28" s="72">
        <f t="shared" si="23"/>
        <v>541.82187605824583</v>
      </c>
      <c r="J28" s="101">
        <f t="shared" si="24"/>
        <v>21.672875042329835</v>
      </c>
      <c r="K28" s="340">
        <f t="shared" si="25"/>
        <v>0.36230148850434363</v>
      </c>
      <c r="L28" s="41"/>
      <c r="M28" s="341">
        <f>I28/$I$26</f>
        <v>0.77751439214358276</v>
      </c>
      <c r="N28" s="73"/>
      <c r="O28" s="43"/>
      <c r="P28" s="43"/>
      <c r="Z28" s="40">
        <v>300</v>
      </c>
      <c r="AA28" s="40">
        <f>Z28/400*600</f>
        <v>450</v>
      </c>
    </row>
    <row r="29" spans="1:27" x14ac:dyDescent="0.25">
      <c r="A29" s="128">
        <f t="shared" si="19"/>
        <v>750</v>
      </c>
      <c r="B29" s="128">
        <f t="shared" si="20"/>
        <v>400</v>
      </c>
      <c r="C29" s="43">
        <v>1125</v>
      </c>
      <c r="D29" s="43">
        <v>1</v>
      </c>
      <c r="E29" s="343">
        <f t="shared" si="21"/>
        <v>67.5</v>
      </c>
      <c r="F29" s="100">
        <f t="shared" si="22"/>
        <v>67.27</v>
      </c>
      <c r="G29" s="24">
        <v>99.93</v>
      </c>
      <c r="H29" s="24">
        <v>800</v>
      </c>
      <c r="I29" s="72">
        <f t="shared" si="23"/>
        <v>480.33623536475528</v>
      </c>
      <c r="J29" s="101">
        <f t="shared" si="24"/>
        <v>28.820174121885316</v>
      </c>
      <c r="K29" s="340">
        <f t="shared" si="25"/>
        <v>0.42696554254644914</v>
      </c>
      <c r="L29" s="41"/>
      <c r="M29" s="341">
        <f>I29/$I$26</f>
        <v>0.68928249774842376</v>
      </c>
      <c r="N29" s="73"/>
      <c r="O29" s="43"/>
      <c r="P29" s="43"/>
      <c r="Z29" s="40">
        <v>400</v>
      </c>
      <c r="AA29" s="40">
        <f>Z29/400*600</f>
        <v>600</v>
      </c>
    </row>
    <row r="30" spans="1:27" x14ac:dyDescent="0.25">
      <c r="A30" s="128">
        <f t="shared" si="19"/>
        <v>1000</v>
      </c>
      <c r="B30" s="128">
        <f t="shared" si="20"/>
        <v>400</v>
      </c>
      <c r="C30" s="43">
        <v>1477</v>
      </c>
      <c r="D30" s="43">
        <v>1</v>
      </c>
      <c r="E30" s="343">
        <f t="shared" si="21"/>
        <v>88.62</v>
      </c>
      <c r="F30" s="100">
        <f t="shared" si="22"/>
        <v>88.39</v>
      </c>
      <c r="G30" s="24">
        <v>109.72</v>
      </c>
      <c r="H30" s="24">
        <v>800</v>
      </c>
      <c r="I30" s="72">
        <f t="shared" si="23"/>
        <v>437.47721472839959</v>
      </c>
      <c r="J30" s="101">
        <f t="shared" si="24"/>
        <v>34.998177178271966</v>
      </c>
      <c r="K30" s="340">
        <f t="shared" si="25"/>
        <v>0.39492413877535504</v>
      </c>
      <c r="L30" s="41"/>
      <c r="M30" s="341">
        <f>I30/$I$26</f>
        <v>0.62777980313525339</v>
      </c>
      <c r="N30" s="73"/>
      <c r="O30" s="43"/>
      <c r="P30" s="43"/>
    </row>
    <row r="31" spans="1:27" x14ac:dyDescent="0.25">
      <c r="A31" s="74"/>
      <c r="B31" s="128"/>
      <c r="C31" s="43"/>
      <c r="D31" s="43"/>
      <c r="E31" s="343"/>
      <c r="F31" s="100"/>
      <c r="G31" s="24"/>
      <c r="H31" s="24"/>
      <c r="I31" s="72"/>
      <c r="J31" s="101"/>
      <c r="K31" s="41"/>
      <c r="L31" s="41"/>
      <c r="M31" s="341"/>
      <c r="N31" s="73"/>
      <c r="O31" s="43"/>
      <c r="P31" s="43"/>
    </row>
    <row r="32" spans="1:27" x14ac:dyDescent="0.25">
      <c r="A32" s="128">
        <f t="shared" ref="A32:A37" si="26">Q3</f>
        <v>0</v>
      </c>
      <c r="B32" s="128">
        <f t="shared" ref="B32:B37" si="27">P$6</f>
        <v>600</v>
      </c>
      <c r="C32" s="43">
        <v>608</v>
      </c>
      <c r="D32" s="43">
        <v>1</v>
      </c>
      <c r="E32" s="343">
        <f t="shared" ref="E32:E37" si="28">60/D32*C32/1000</f>
        <v>36.479999999999997</v>
      </c>
      <c r="F32" s="100">
        <f t="shared" ref="F32:F37" si="29">E32-$J$7</f>
        <v>36.25</v>
      </c>
      <c r="G32" s="24">
        <v>61.75</v>
      </c>
      <c r="H32" s="24">
        <v>1200</v>
      </c>
      <c r="I32" s="72">
        <f t="shared" ref="I32:I37" si="30">60*H32/G32</f>
        <v>1165.991902834008</v>
      </c>
      <c r="J32" s="101">
        <f t="shared" ref="J32:J37" si="31">I32/100*A32/100*0.8</f>
        <v>0</v>
      </c>
      <c r="K32" s="340">
        <f t="shared" ref="K32:K37" si="32">J32/E32</f>
        <v>0</v>
      </c>
      <c r="L32" s="41"/>
      <c r="M32" s="341"/>
      <c r="N32" s="73"/>
      <c r="O32" s="43"/>
      <c r="P32" s="43"/>
      <c r="Q32" s="69"/>
      <c r="R32" s="70"/>
      <c r="S32" s="70"/>
    </row>
    <row r="33" spans="1:27" x14ac:dyDescent="0.25">
      <c r="A33" s="128">
        <f t="shared" si="26"/>
        <v>100</v>
      </c>
      <c r="B33" s="128">
        <f t="shared" si="27"/>
        <v>600</v>
      </c>
      <c r="C33" s="43">
        <v>877</v>
      </c>
      <c r="D33" s="43">
        <v>1</v>
      </c>
      <c r="E33" s="343">
        <f t="shared" si="28"/>
        <v>52.62</v>
      </c>
      <c r="F33" s="100">
        <f t="shared" si="29"/>
        <v>52.39</v>
      </c>
      <c r="G33" s="24">
        <v>69.88</v>
      </c>
      <c r="H33" s="24">
        <v>1200</v>
      </c>
      <c r="I33" s="72">
        <f t="shared" si="30"/>
        <v>1030.3377218088151</v>
      </c>
      <c r="J33" s="101">
        <f t="shared" si="31"/>
        <v>8.2427017744705218</v>
      </c>
      <c r="K33" s="340">
        <f t="shared" si="32"/>
        <v>0.15664579579001373</v>
      </c>
      <c r="L33" s="41"/>
      <c r="M33" s="341">
        <f>I33/$I$33</f>
        <v>1</v>
      </c>
      <c r="N33" s="73"/>
      <c r="O33" s="43"/>
      <c r="P33" s="43"/>
      <c r="Z33" s="40">
        <v>100</v>
      </c>
      <c r="AA33" s="40">
        <f>Z33/400*600</f>
        <v>150</v>
      </c>
    </row>
    <row r="34" spans="1:27" x14ac:dyDescent="0.25">
      <c r="A34" s="128">
        <f t="shared" si="26"/>
        <v>250</v>
      </c>
      <c r="B34" s="128">
        <f t="shared" si="27"/>
        <v>600</v>
      </c>
      <c r="C34" s="43">
        <v>1076</v>
      </c>
      <c r="D34" s="43">
        <v>1</v>
      </c>
      <c r="E34" s="343">
        <f t="shared" si="28"/>
        <v>64.56</v>
      </c>
      <c r="F34" s="100">
        <f t="shared" si="29"/>
        <v>64.33</v>
      </c>
      <c r="G34" s="24">
        <v>75.48</v>
      </c>
      <c r="H34" s="24">
        <v>1200</v>
      </c>
      <c r="I34" s="72">
        <f t="shared" si="30"/>
        <v>953.89507154213027</v>
      </c>
      <c r="J34" s="101">
        <f t="shared" si="31"/>
        <v>19.077901430842605</v>
      </c>
      <c r="K34" s="340">
        <f t="shared" si="32"/>
        <v>0.29550652773919772</v>
      </c>
      <c r="L34" s="41"/>
      <c r="M34" s="341">
        <f>I34/$I$33</f>
        <v>0.9258081611022787</v>
      </c>
      <c r="N34" s="73"/>
      <c r="O34" s="43"/>
      <c r="P34" s="43"/>
      <c r="Z34" s="40">
        <v>200</v>
      </c>
      <c r="AA34" s="40">
        <f>Z34/400*600</f>
        <v>300</v>
      </c>
    </row>
    <row r="35" spans="1:27" x14ac:dyDescent="0.25">
      <c r="A35" s="128">
        <f t="shared" si="26"/>
        <v>500</v>
      </c>
      <c r="B35" s="128">
        <f t="shared" si="27"/>
        <v>600</v>
      </c>
      <c r="C35" s="43">
        <v>1242</v>
      </c>
      <c r="D35" s="43">
        <v>1</v>
      </c>
      <c r="E35" s="343">
        <f t="shared" si="28"/>
        <v>74.52</v>
      </c>
      <c r="F35" s="100">
        <f t="shared" si="29"/>
        <v>74.289999999999992</v>
      </c>
      <c r="G35" s="24">
        <v>80.62</v>
      </c>
      <c r="H35" s="24">
        <v>1200</v>
      </c>
      <c r="I35" s="72">
        <f t="shared" si="30"/>
        <v>893.07864053584717</v>
      </c>
      <c r="J35" s="101">
        <f t="shared" si="31"/>
        <v>35.723145621433886</v>
      </c>
      <c r="K35" s="340">
        <f t="shared" si="32"/>
        <v>0.47937661864511388</v>
      </c>
      <c r="L35" s="41"/>
      <c r="M35" s="341">
        <f>I35/$I$33</f>
        <v>0.86678243612006944</v>
      </c>
      <c r="N35" s="73"/>
      <c r="O35" s="43"/>
      <c r="P35" s="43"/>
      <c r="Z35" s="40">
        <v>300</v>
      </c>
      <c r="AA35" s="40">
        <f>Z35/400*600</f>
        <v>450</v>
      </c>
    </row>
    <row r="36" spans="1:27" x14ac:dyDescent="0.25">
      <c r="A36" s="128">
        <f t="shared" si="26"/>
        <v>750</v>
      </c>
      <c r="B36" s="128">
        <f t="shared" si="27"/>
        <v>600</v>
      </c>
      <c r="C36" s="43">
        <v>1558</v>
      </c>
      <c r="D36" s="43">
        <v>1</v>
      </c>
      <c r="E36" s="343">
        <f t="shared" si="28"/>
        <v>93.48</v>
      </c>
      <c r="F36" s="100">
        <f t="shared" si="29"/>
        <v>93.25</v>
      </c>
      <c r="G36" s="24">
        <v>88.98</v>
      </c>
      <c r="H36" s="24">
        <v>1200</v>
      </c>
      <c r="I36" s="72">
        <f t="shared" si="30"/>
        <v>809.17060013486173</v>
      </c>
      <c r="J36" s="101">
        <f t="shared" si="31"/>
        <v>48.550236008091709</v>
      </c>
      <c r="K36" s="340">
        <f t="shared" si="32"/>
        <v>0.51936495515716419</v>
      </c>
      <c r="L36" s="41"/>
      <c r="M36" s="341">
        <f>I36/$I$33</f>
        <v>0.78534502135311302</v>
      </c>
      <c r="N36" s="73"/>
      <c r="O36" s="43"/>
      <c r="P36" s="43"/>
      <c r="Z36" s="40">
        <v>400</v>
      </c>
      <c r="AA36" s="40">
        <f>Z36/400*600</f>
        <v>600</v>
      </c>
    </row>
    <row r="37" spans="1:27" x14ac:dyDescent="0.25">
      <c r="A37" s="128">
        <f t="shared" si="26"/>
        <v>1000</v>
      </c>
      <c r="B37" s="128">
        <f t="shared" si="27"/>
        <v>600</v>
      </c>
      <c r="C37" s="43">
        <v>2003</v>
      </c>
      <c r="D37" s="43">
        <v>1</v>
      </c>
      <c r="E37" s="343">
        <f t="shared" si="28"/>
        <v>120.18</v>
      </c>
      <c r="F37" s="100">
        <f t="shared" si="29"/>
        <v>119.95</v>
      </c>
      <c r="G37" s="24">
        <v>100.06</v>
      </c>
      <c r="H37" s="24">
        <v>1200</v>
      </c>
      <c r="I37" s="72">
        <f t="shared" si="30"/>
        <v>719.56825904457321</v>
      </c>
      <c r="J37" s="101">
        <f t="shared" si="31"/>
        <v>57.565460723565856</v>
      </c>
      <c r="K37" s="340">
        <f t="shared" si="32"/>
        <v>0.47899368217312244</v>
      </c>
      <c r="L37" s="41"/>
      <c r="M37" s="341">
        <f>I37/$I$33</f>
        <v>0.69838097141714972</v>
      </c>
      <c r="N37" s="73"/>
      <c r="O37" s="43"/>
      <c r="P37" s="43"/>
    </row>
    <row r="38" spans="1:27" x14ac:dyDescent="0.25">
      <c r="A38" s="128"/>
      <c r="B38" s="128"/>
      <c r="C38" s="43"/>
      <c r="D38" s="43"/>
      <c r="E38" s="343"/>
      <c r="F38" s="100"/>
      <c r="G38" s="24"/>
      <c r="H38" s="24"/>
      <c r="I38" s="72"/>
      <c r="J38" s="101"/>
      <c r="K38" s="41"/>
      <c r="L38" s="41"/>
      <c r="M38" s="341"/>
      <c r="N38" s="73"/>
      <c r="O38" s="43"/>
      <c r="P38" s="43"/>
    </row>
    <row r="39" spans="1:27" x14ac:dyDescent="0.25">
      <c r="A39" s="128">
        <f t="shared" ref="A39:A44" si="33">Q3</f>
        <v>0</v>
      </c>
      <c r="B39" s="128">
        <f t="shared" ref="B39:B44" si="34">P$7</f>
        <v>800</v>
      </c>
      <c r="C39" s="43">
        <v>892</v>
      </c>
      <c r="D39" s="43">
        <v>1</v>
      </c>
      <c r="E39" s="343">
        <f t="shared" ref="E39:E44" si="35">60/D39*C39/1000</f>
        <v>53.52</v>
      </c>
      <c r="F39" s="100">
        <f t="shared" ref="F39:F44" si="36">E39-$J$7</f>
        <v>53.290000000000006</v>
      </c>
      <c r="G39" s="24">
        <v>41.43</v>
      </c>
      <c r="H39" s="24">
        <v>1100</v>
      </c>
      <c r="I39" s="72">
        <f t="shared" ref="I39:I44" si="37">60*H39/G39</f>
        <v>1593.0485155684287</v>
      </c>
      <c r="J39" s="101">
        <f t="shared" ref="J39:J44" si="38">I39/100*A39/100*0.8</f>
        <v>0</v>
      </c>
      <c r="K39" s="340">
        <f t="shared" ref="K39:K44" si="39">J39/E39</f>
        <v>0</v>
      </c>
      <c r="L39" s="41"/>
      <c r="M39" s="341"/>
      <c r="N39" s="73"/>
      <c r="O39" s="43"/>
      <c r="P39" s="43"/>
      <c r="Q39" s="69"/>
      <c r="R39" s="70"/>
      <c r="S39" s="70"/>
    </row>
    <row r="40" spans="1:27" x14ac:dyDescent="0.25">
      <c r="A40" s="128">
        <f t="shared" si="33"/>
        <v>100</v>
      </c>
      <c r="B40" s="128">
        <f t="shared" si="34"/>
        <v>800</v>
      </c>
      <c r="C40" s="43">
        <v>1190</v>
      </c>
      <c r="D40" s="43">
        <v>1</v>
      </c>
      <c r="E40" s="343">
        <f t="shared" si="35"/>
        <v>71.400000000000006</v>
      </c>
      <c r="F40" s="100">
        <f t="shared" si="36"/>
        <v>71.17</v>
      </c>
      <c r="G40" s="24">
        <v>45.05</v>
      </c>
      <c r="H40" s="24">
        <v>1100</v>
      </c>
      <c r="I40" s="72">
        <f t="shared" si="37"/>
        <v>1465.0388457269701</v>
      </c>
      <c r="J40" s="101">
        <f t="shared" si="38"/>
        <v>11.720310765815761</v>
      </c>
      <c r="K40" s="340">
        <f t="shared" si="39"/>
        <v>0.16415001072571092</v>
      </c>
      <c r="L40" s="41"/>
      <c r="M40" s="341">
        <f>I40/$I$40</f>
        <v>1</v>
      </c>
      <c r="N40" s="73"/>
      <c r="O40" s="43"/>
      <c r="P40" s="43"/>
      <c r="Z40" s="40">
        <v>100</v>
      </c>
      <c r="AA40" s="40">
        <f>Z40/400*600</f>
        <v>150</v>
      </c>
    </row>
    <row r="41" spans="1:27" x14ac:dyDescent="0.25">
      <c r="A41" s="128">
        <f t="shared" si="33"/>
        <v>250</v>
      </c>
      <c r="B41" s="128">
        <f t="shared" si="34"/>
        <v>800</v>
      </c>
      <c r="C41" s="43">
        <v>1492</v>
      </c>
      <c r="D41" s="43">
        <v>1</v>
      </c>
      <c r="E41" s="343">
        <f t="shared" si="35"/>
        <v>89.52</v>
      </c>
      <c r="F41" s="100">
        <f t="shared" si="36"/>
        <v>89.289999999999992</v>
      </c>
      <c r="G41" s="24">
        <v>48.34</v>
      </c>
      <c r="H41" s="24">
        <v>1100</v>
      </c>
      <c r="I41" s="72">
        <f t="shared" si="37"/>
        <v>1365.3289201489449</v>
      </c>
      <c r="J41" s="101">
        <f t="shared" si="38"/>
        <v>27.3065784029789</v>
      </c>
      <c r="K41" s="340">
        <f t="shared" si="39"/>
        <v>0.30503327081075626</v>
      </c>
      <c r="L41" s="41"/>
      <c r="M41" s="341">
        <f>I41/$I$40</f>
        <v>0.93194042201075711</v>
      </c>
      <c r="N41" s="73"/>
      <c r="O41" s="43"/>
      <c r="P41" s="43"/>
      <c r="Z41" s="40">
        <v>200</v>
      </c>
      <c r="AA41" s="40">
        <f>Z41/400*600</f>
        <v>300</v>
      </c>
    </row>
    <row r="42" spans="1:27" x14ac:dyDescent="0.25">
      <c r="A42" s="128">
        <f t="shared" si="33"/>
        <v>500</v>
      </c>
      <c r="B42" s="128">
        <f t="shared" si="34"/>
        <v>800</v>
      </c>
      <c r="C42" s="43">
        <v>1731</v>
      </c>
      <c r="D42" s="43">
        <v>1</v>
      </c>
      <c r="E42" s="343">
        <f t="shared" si="35"/>
        <v>103.86</v>
      </c>
      <c r="F42" s="100">
        <f t="shared" si="36"/>
        <v>103.63</v>
      </c>
      <c r="G42" s="24">
        <v>51.91</v>
      </c>
      <c r="H42" s="24">
        <v>1100</v>
      </c>
      <c r="I42" s="72">
        <f t="shared" si="37"/>
        <v>1271.431323444423</v>
      </c>
      <c r="J42" s="101">
        <f t="shared" si="38"/>
        <v>50.85725293777692</v>
      </c>
      <c r="K42" s="340">
        <f t="shared" si="39"/>
        <v>0.48967122027514848</v>
      </c>
      <c r="L42" s="41"/>
      <c r="M42" s="341">
        <f>I42/$I$40</f>
        <v>0.86784819880562514</v>
      </c>
      <c r="N42" s="73"/>
      <c r="O42" s="43"/>
      <c r="P42" s="43"/>
      <c r="Z42" s="40">
        <v>300</v>
      </c>
      <c r="AA42" s="40">
        <f>Z42/400*600</f>
        <v>450</v>
      </c>
    </row>
    <row r="43" spans="1:27" x14ac:dyDescent="0.25">
      <c r="A43" s="128">
        <f t="shared" si="33"/>
        <v>750</v>
      </c>
      <c r="B43" s="128">
        <f t="shared" si="34"/>
        <v>800</v>
      </c>
      <c r="C43" s="43">
        <v>2062</v>
      </c>
      <c r="D43" s="43">
        <v>1</v>
      </c>
      <c r="E43" s="343">
        <f t="shared" si="35"/>
        <v>123.72</v>
      </c>
      <c r="F43" s="100">
        <f t="shared" si="36"/>
        <v>123.49</v>
      </c>
      <c r="G43" s="24">
        <v>57.09</v>
      </c>
      <c r="H43" s="24">
        <v>1100</v>
      </c>
      <c r="I43" s="72">
        <f t="shared" si="37"/>
        <v>1156.0693641618495</v>
      </c>
      <c r="J43" s="101">
        <f t="shared" si="38"/>
        <v>69.364161849710982</v>
      </c>
      <c r="K43" s="340">
        <f t="shared" si="39"/>
        <v>0.56065439581079035</v>
      </c>
      <c r="L43" s="41"/>
      <c r="M43" s="341">
        <f>I43/$I$40</f>
        <v>0.78910492205289884</v>
      </c>
      <c r="N43" s="73"/>
      <c r="O43" s="43"/>
      <c r="P43" s="43"/>
      <c r="Z43" s="40">
        <v>400</v>
      </c>
      <c r="AA43" s="40">
        <f>Z43/400*600</f>
        <v>600</v>
      </c>
    </row>
    <row r="44" spans="1:27" x14ac:dyDescent="0.25">
      <c r="A44" s="128">
        <f t="shared" si="33"/>
        <v>1000</v>
      </c>
      <c r="B44" s="128">
        <f t="shared" si="34"/>
        <v>800</v>
      </c>
      <c r="C44" s="43">
        <v>2512</v>
      </c>
      <c r="D44" s="43">
        <f>63/60</f>
        <v>1.05</v>
      </c>
      <c r="E44" s="343">
        <f t="shared" si="35"/>
        <v>143.54285714285714</v>
      </c>
      <c r="F44" s="100">
        <f t="shared" si="36"/>
        <v>143.31285714285715</v>
      </c>
      <c r="G44" s="24">
        <v>64.42</v>
      </c>
      <c r="H44" s="24">
        <v>1100</v>
      </c>
      <c r="I44" s="72">
        <f t="shared" si="37"/>
        <v>1024.5265445513814</v>
      </c>
      <c r="J44" s="101">
        <f t="shared" si="38"/>
        <v>81.962123564110527</v>
      </c>
      <c r="K44" s="340">
        <f t="shared" si="39"/>
        <v>0.57099409330092921</v>
      </c>
      <c r="L44" s="41"/>
      <c r="M44" s="341">
        <f>I44/$I$40</f>
        <v>0.69931698230363237</v>
      </c>
      <c r="N44" s="73"/>
      <c r="O44" s="43"/>
      <c r="P44" s="43"/>
    </row>
    <row r="45" spans="1:27" x14ac:dyDescent="0.25">
      <c r="A45" s="74"/>
      <c r="B45" s="128"/>
      <c r="C45" s="43"/>
      <c r="D45" s="43"/>
      <c r="E45" s="343"/>
      <c r="F45" s="100"/>
      <c r="G45" s="24"/>
      <c r="H45" s="24"/>
      <c r="I45" s="72"/>
      <c r="J45" s="101"/>
      <c r="K45" s="41"/>
      <c r="L45" s="41"/>
      <c r="M45" s="341"/>
      <c r="N45" s="73"/>
      <c r="O45" s="43"/>
      <c r="P45" s="43"/>
    </row>
    <row r="46" spans="1:27" x14ac:dyDescent="0.25">
      <c r="A46" s="128">
        <f t="shared" ref="A46:A51" si="40">Q3</f>
        <v>0</v>
      </c>
      <c r="B46" s="128">
        <f t="shared" ref="B46:B51" si="41">P$8</f>
        <v>1000</v>
      </c>
      <c r="C46" s="43">
        <v>1176</v>
      </c>
      <c r="D46" s="93">
        <v>1</v>
      </c>
      <c r="E46" s="343">
        <f t="shared" ref="E46:E51" si="42">60/D46*C46/1000</f>
        <v>70.56</v>
      </c>
      <c r="F46" s="100">
        <f t="shared" ref="F46:F51" si="43">E46-$J$7</f>
        <v>70.33</v>
      </c>
      <c r="G46" s="24">
        <v>47</v>
      </c>
      <c r="H46" s="24">
        <v>1600</v>
      </c>
      <c r="I46" s="72">
        <f t="shared" ref="I46:I51" si="44">60*H46/G46</f>
        <v>2042.5531914893618</v>
      </c>
      <c r="J46" s="101">
        <f t="shared" ref="J46:J51" si="45">I46/100*A46/100*0.8</f>
        <v>0</v>
      </c>
      <c r="K46" s="340">
        <f t="shared" ref="K46:K51" si="46">J46/E46</f>
        <v>0</v>
      </c>
      <c r="L46" s="41"/>
      <c r="M46" s="341"/>
      <c r="N46" s="73"/>
      <c r="O46" s="43"/>
      <c r="P46" s="43"/>
      <c r="Q46" s="69"/>
      <c r="R46" s="70"/>
      <c r="S46" s="70"/>
    </row>
    <row r="47" spans="1:27" x14ac:dyDescent="0.25">
      <c r="A47" s="128">
        <f t="shared" si="40"/>
        <v>100</v>
      </c>
      <c r="B47" s="128">
        <f t="shared" si="41"/>
        <v>1000</v>
      </c>
      <c r="C47" s="43">
        <v>1572</v>
      </c>
      <c r="D47" s="93">
        <v>1</v>
      </c>
      <c r="E47" s="343">
        <f t="shared" si="42"/>
        <v>94.32</v>
      </c>
      <c r="F47" s="100">
        <f t="shared" si="43"/>
        <v>94.089999999999989</v>
      </c>
      <c r="G47" s="24">
        <v>51.2</v>
      </c>
      <c r="H47" s="24">
        <v>1600</v>
      </c>
      <c r="I47" s="72">
        <f t="shared" si="44"/>
        <v>1875</v>
      </c>
      <c r="J47" s="101">
        <f t="shared" si="45"/>
        <v>15</v>
      </c>
      <c r="K47" s="340">
        <f t="shared" si="46"/>
        <v>0.15903307888040713</v>
      </c>
      <c r="L47" s="41"/>
      <c r="M47" s="341">
        <f>I47/$I$47</f>
        <v>1</v>
      </c>
      <c r="N47" s="73"/>
      <c r="O47" s="43"/>
      <c r="P47" s="43"/>
      <c r="Z47" s="40">
        <v>100</v>
      </c>
      <c r="AA47" s="40">
        <f>Z47/400*600</f>
        <v>150</v>
      </c>
    </row>
    <row r="48" spans="1:27" x14ac:dyDescent="0.25">
      <c r="A48" s="128">
        <f t="shared" si="40"/>
        <v>250</v>
      </c>
      <c r="B48" s="128">
        <f t="shared" si="41"/>
        <v>1000</v>
      </c>
      <c r="C48" s="43">
        <v>1944</v>
      </c>
      <c r="D48" s="93">
        <v>1</v>
      </c>
      <c r="E48" s="343">
        <f t="shared" si="42"/>
        <v>116.64</v>
      </c>
      <c r="F48" s="100">
        <f t="shared" si="43"/>
        <v>116.41</v>
      </c>
      <c r="G48" s="24">
        <v>54.56</v>
      </c>
      <c r="H48" s="24">
        <v>1600</v>
      </c>
      <c r="I48" s="72">
        <f t="shared" si="44"/>
        <v>1759.5307917888563</v>
      </c>
      <c r="J48" s="101">
        <f t="shared" si="45"/>
        <v>35.190615835777116</v>
      </c>
      <c r="K48" s="340">
        <f t="shared" si="46"/>
        <v>0.30170281066338406</v>
      </c>
      <c r="L48" s="41"/>
      <c r="M48" s="341">
        <f>I48/$I$47</f>
        <v>0.93841642228738997</v>
      </c>
      <c r="N48" s="73"/>
      <c r="O48" s="43"/>
      <c r="P48" s="43"/>
      <c r="Z48" s="40">
        <v>200</v>
      </c>
      <c r="AA48" s="40">
        <f>Z48/400*600</f>
        <v>300</v>
      </c>
    </row>
    <row r="49" spans="1:27" x14ac:dyDescent="0.25">
      <c r="A49" s="128">
        <f t="shared" si="40"/>
        <v>500</v>
      </c>
      <c r="B49" s="128">
        <f t="shared" si="41"/>
        <v>1000</v>
      </c>
      <c r="C49" s="43">
        <v>2302</v>
      </c>
      <c r="D49" s="93">
        <v>1</v>
      </c>
      <c r="E49" s="343">
        <f t="shared" si="42"/>
        <v>138.12</v>
      </c>
      <c r="F49" s="100">
        <f t="shared" si="43"/>
        <v>137.89000000000001</v>
      </c>
      <c r="G49" s="24">
        <v>57.55</v>
      </c>
      <c r="H49" s="24">
        <v>1600</v>
      </c>
      <c r="I49" s="72">
        <f t="shared" si="44"/>
        <v>1668.1146828844485</v>
      </c>
      <c r="J49" s="101">
        <f t="shared" si="45"/>
        <v>66.724587315377946</v>
      </c>
      <c r="K49" s="340">
        <f t="shared" si="46"/>
        <v>0.48309142278727152</v>
      </c>
      <c r="L49" s="41"/>
      <c r="M49" s="341">
        <f>I49/$I$47</f>
        <v>0.88966116420503916</v>
      </c>
      <c r="N49" s="73"/>
      <c r="O49" s="43"/>
      <c r="P49" s="43"/>
      <c r="Z49" s="40">
        <v>300</v>
      </c>
      <c r="AA49" s="40">
        <f>Z49/400*600</f>
        <v>450</v>
      </c>
    </row>
    <row r="50" spans="1:27" x14ac:dyDescent="0.25">
      <c r="A50" s="128">
        <f t="shared" si="40"/>
        <v>750</v>
      </c>
      <c r="B50" s="128">
        <f t="shared" si="41"/>
        <v>1000</v>
      </c>
      <c r="C50" s="43">
        <v>2908</v>
      </c>
      <c r="D50" s="93">
        <f>63/60</f>
        <v>1.05</v>
      </c>
      <c r="E50" s="343">
        <f t="shared" si="42"/>
        <v>166.17142857142855</v>
      </c>
      <c r="F50" s="100">
        <f t="shared" si="43"/>
        <v>165.94142857142856</v>
      </c>
      <c r="G50" s="24">
        <v>65.62</v>
      </c>
      <c r="H50" s="24">
        <v>1600</v>
      </c>
      <c r="I50" s="72">
        <f t="shared" si="44"/>
        <v>1462.9686071319718</v>
      </c>
      <c r="J50" s="101">
        <f t="shared" si="45"/>
        <v>87.778116427918306</v>
      </c>
      <c r="K50" s="340">
        <f t="shared" si="46"/>
        <v>0.5282383210070738</v>
      </c>
      <c r="L50" s="41"/>
      <c r="M50" s="341">
        <f>I50/$I$47</f>
        <v>0.78024992380371827</v>
      </c>
      <c r="N50" s="73"/>
      <c r="O50" s="43"/>
      <c r="P50" s="43"/>
      <c r="Z50" s="40">
        <v>400</v>
      </c>
      <c r="AA50" s="40">
        <f>Z50/400*600</f>
        <v>600</v>
      </c>
    </row>
    <row r="51" spans="1:27" x14ac:dyDescent="0.25">
      <c r="A51" s="128">
        <f t="shared" si="40"/>
        <v>1000</v>
      </c>
      <c r="B51" s="128">
        <f t="shared" si="41"/>
        <v>1000</v>
      </c>
      <c r="C51" s="43">
        <v>3184</v>
      </c>
      <c r="D51" s="93">
        <v>1</v>
      </c>
      <c r="E51" s="343">
        <f t="shared" si="42"/>
        <v>191.04</v>
      </c>
      <c r="F51" s="100">
        <f t="shared" si="43"/>
        <v>190.81</v>
      </c>
      <c r="G51" s="24">
        <v>72.95</v>
      </c>
      <c r="H51" s="24">
        <v>1600</v>
      </c>
      <c r="I51" s="72">
        <f t="shared" si="44"/>
        <v>1315.9698423577793</v>
      </c>
      <c r="J51" s="101">
        <f t="shared" si="45"/>
        <v>105.27758738862235</v>
      </c>
      <c r="K51" s="340">
        <f t="shared" si="46"/>
        <v>0.55107614839102992</v>
      </c>
      <c r="L51" s="41"/>
      <c r="M51" s="341">
        <f>I51/$I$47</f>
        <v>0.70185058259081556</v>
      </c>
      <c r="N51" s="73"/>
      <c r="O51" s="43"/>
      <c r="P51" s="43"/>
    </row>
    <row r="52" spans="1:27" x14ac:dyDescent="0.25">
      <c r="A52" s="43"/>
      <c r="B52" s="128"/>
      <c r="C52" s="41"/>
      <c r="D52" s="41"/>
      <c r="E52" s="41"/>
      <c r="F52" s="75"/>
      <c r="G52" s="41"/>
      <c r="H52" s="43"/>
      <c r="I52" s="76"/>
      <c r="J52" s="71"/>
      <c r="K52" s="41"/>
      <c r="L52" s="41"/>
      <c r="M52" s="341"/>
      <c r="N52" s="73"/>
      <c r="O52" s="43"/>
      <c r="P52" s="43"/>
    </row>
    <row r="53" spans="1:27" x14ac:dyDescent="0.25">
      <c r="A53" s="43"/>
      <c r="B53" s="74"/>
      <c r="C53" s="41"/>
      <c r="D53" s="41"/>
      <c r="E53" s="41"/>
      <c r="F53" s="41"/>
      <c r="G53" s="41"/>
      <c r="H53" s="43"/>
      <c r="I53" s="76"/>
      <c r="J53" s="71"/>
      <c r="K53" s="41"/>
      <c r="L53" s="41"/>
      <c r="M53" s="341"/>
      <c r="N53" s="73"/>
      <c r="O53" s="43"/>
      <c r="P53" s="43"/>
    </row>
    <row r="54" spans="1:27" x14ac:dyDescent="0.25">
      <c r="A54" s="43"/>
      <c r="B54" s="128"/>
      <c r="C54" s="41"/>
      <c r="D54" s="41"/>
      <c r="E54" s="41"/>
      <c r="F54" s="41"/>
      <c r="G54" s="41"/>
      <c r="H54" s="43"/>
      <c r="I54" s="76"/>
      <c r="J54" s="71"/>
      <c r="K54" s="41"/>
      <c r="L54" s="41"/>
      <c r="M54" s="341"/>
      <c r="N54" s="73"/>
      <c r="O54" s="43"/>
      <c r="P54" s="43"/>
    </row>
    <row r="55" spans="1:27" x14ac:dyDescent="0.25">
      <c r="A55" s="47"/>
      <c r="B55" s="128"/>
      <c r="C55" s="41"/>
      <c r="D55" s="41"/>
      <c r="E55" s="41"/>
      <c r="F55" s="41"/>
      <c r="G55" s="41"/>
      <c r="H55" s="43"/>
      <c r="I55" s="76"/>
      <c r="J55" s="71"/>
      <c r="K55" s="41"/>
      <c r="L55" s="41"/>
      <c r="M55" s="341"/>
      <c r="N55" s="73"/>
      <c r="O55" s="43"/>
      <c r="P55" s="43"/>
    </row>
    <row r="56" spans="1:27" x14ac:dyDescent="0.25">
      <c r="A56" s="71"/>
      <c r="B56" s="74"/>
      <c r="C56" s="41"/>
      <c r="D56" s="41"/>
      <c r="E56" s="41"/>
      <c r="F56" s="41"/>
      <c r="G56" s="41"/>
      <c r="H56" s="43"/>
      <c r="I56" s="76"/>
      <c r="J56" s="71"/>
      <c r="K56" s="41"/>
      <c r="L56" s="41"/>
      <c r="M56" s="341"/>
      <c r="N56" s="73"/>
      <c r="O56" s="43"/>
      <c r="P56" s="43"/>
    </row>
    <row r="57" spans="1:27" x14ac:dyDescent="0.25">
      <c r="A57" s="47"/>
      <c r="B57" s="128"/>
      <c r="C57" s="41"/>
      <c r="D57" s="41"/>
      <c r="E57" s="41"/>
      <c r="F57" s="41"/>
      <c r="G57" s="41"/>
      <c r="H57" s="43"/>
      <c r="I57" s="43"/>
      <c r="J57" s="47"/>
      <c r="K57" s="41"/>
      <c r="L57" s="41"/>
      <c r="M57" s="341"/>
      <c r="N57" s="73"/>
      <c r="O57" s="43"/>
      <c r="P57" s="43"/>
    </row>
    <row r="58" spans="1:27" x14ac:dyDescent="0.25">
      <c r="A58" s="47"/>
      <c r="B58" s="128"/>
      <c r="C58" s="41"/>
      <c r="D58" s="41"/>
      <c r="E58" s="41"/>
      <c r="F58" s="41"/>
      <c r="G58" s="340"/>
      <c r="H58" s="43"/>
      <c r="I58" s="43"/>
      <c r="J58" s="47"/>
      <c r="K58" s="41"/>
      <c r="L58" s="41"/>
      <c r="M58" s="341"/>
      <c r="N58" s="73"/>
      <c r="O58" s="43"/>
      <c r="P58" s="43"/>
    </row>
    <row r="59" spans="1:27" x14ac:dyDescent="0.25">
      <c r="A59" s="47"/>
      <c r="B59" s="128"/>
      <c r="C59" s="41"/>
      <c r="D59" s="41"/>
      <c r="E59" s="41"/>
      <c r="F59" s="41"/>
      <c r="G59" s="41"/>
      <c r="H59" s="43"/>
      <c r="I59" s="43"/>
      <c r="J59" s="47"/>
      <c r="K59" s="41"/>
      <c r="L59" s="41"/>
      <c r="M59" s="341"/>
      <c r="N59" s="73"/>
      <c r="O59" s="43"/>
      <c r="P59" s="43"/>
    </row>
    <row r="60" spans="1:27" x14ac:dyDescent="0.25">
      <c r="A60" s="47"/>
      <c r="B60" s="128"/>
      <c r="C60" s="41"/>
      <c r="D60" s="41"/>
      <c r="E60" s="41"/>
      <c r="F60" s="41"/>
      <c r="G60" s="41"/>
      <c r="H60" s="43"/>
      <c r="I60" s="43"/>
      <c r="J60" s="47"/>
      <c r="K60" s="41"/>
      <c r="L60" s="41"/>
      <c r="M60" s="341"/>
      <c r="N60" s="73"/>
      <c r="O60" s="43"/>
      <c r="P60" s="43"/>
    </row>
    <row r="61" spans="1:27" x14ac:dyDescent="0.25">
      <c r="A61" s="47"/>
      <c r="B61" s="128"/>
      <c r="C61" s="41"/>
      <c r="D61" s="41"/>
      <c r="E61" s="41"/>
      <c r="F61" s="41"/>
      <c r="G61" s="41"/>
      <c r="H61" s="43"/>
      <c r="I61" s="43"/>
      <c r="J61" s="47"/>
      <c r="K61" s="41"/>
      <c r="L61" s="41"/>
      <c r="M61" s="341"/>
      <c r="N61" s="73"/>
      <c r="O61" s="43"/>
      <c r="P61" s="43"/>
    </row>
    <row r="63" spans="1:27" x14ac:dyDescent="0.25">
      <c r="L63" s="80" t="s">
        <v>18</v>
      </c>
      <c r="M63" s="332"/>
      <c r="N63" s="335" t="s">
        <v>345</v>
      </c>
    </row>
    <row r="64" spans="1:27" x14ac:dyDescent="0.25">
      <c r="K64" s="79" t="s">
        <v>205</v>
      </c>
      <c r="L64" s="81">
        <f>B11</f>
        <v>100</v>
      </c>
      <c r="M64" s="80">
        <f>B18</f>
        <v>200</v>
      </c>
      <c r="N64" s="80">
        <f>B25</f>
        <v>400</v>
      </c>
      <c r="O64" s="80">
        <f>B32</f>
        <v>600</v>
      </c>
      <c r="P64" s="80">
        <f>B39</f>
        <v>800</v>
      </c>
      <c r="Q64" s="80">
        <f>B46</f>
        <v>1000</v>
      </c>
    </row>
    <row r="65" spans="1:18" x14ac:dyDescent="0.25">
      <c r="K65" s="82">
        <f t="shared" ref="K65:K70" si="47">Q3</f>
        <v>0</v>
      </c>
      <c r="L65" s="344">
        <f t="shared" ref="L65:L70" si="48">P11</f>
        <v>161.7686708007549</v>
      </c>
      <c r="M65" s="93">
        <f t="shared" ref="M65:M70" si="49">P18</f>
        <v>335.4579000335458</v>
      </c>
      <c r="N65" s="93">
        <f t="shared" ref="N65:N70" si="50">I25</f>
        <v>723.1093702922567</v>
      </c>
      <c r="O65" s="93">
        <f t="shared" ref="O65:O70" si="51">I32</f>
        <v>1165.991902834008</v>
      </c>
      <c r="P65" s="93">
        <f t="shared" ref="P65:P70" si="52">I39</f>
        <v>1593.0485155684287</v>
      </c>
      <c r="Q65" s="93">
        <f t="shared" ref="Q65:Q70" si="53">I46</f>
        <v>2042.5531914893618</v>
      </c>
    </row>
    <row r="66" spans="1:18" x14ac:dyDescent="0.25">
      <c r="K66" s="82">
        <f t="shared" si="47"/>
        <v>100</v>
      </c>
      <c r="L66" s="344">
        <f t="shared" si="48"/>
        <v>141.27619496114903</v>
      </c>
      <c r="M66" s="93">
        <f t="shared" si="49"/>
        <v>289.85507246376812</v>
      </c>
      <c r="N66" s="93">
        <f t="shared" si="50"/>
        <v>696.8641114982579</v>
      </c>
      <c r="O66" s="93">
        <f t="shared" si="51"/>
        <v>1030.3377218088151</v>
      </c>
      <c r="P66" s="93">
        <f t="shared" si="52"/>
        <v>1465.0388457269701</v>
      </c>
      <c r="Q66" s="93">
        <f t="shared" si="53"/>
        <v>1875</v>
      </c>
    </row>
    <row r="67" spans="1:18" x14ac:dyDescent="0.25">
      <c r="K67" s="82">
        <f t="shared" si="47"/>
        <v>250</v>
      </c>
      <c r="L67" s="344">
        <f t="shared" si="48"/>
        <v>132.56738842244806</v>
      </c>
      <c r="M67" s="93">
        <f t="shared" si="49"/>
        <v>270.27027027027026</v>
      </c>
      <c r="N67" s="93">
        <f t="shared" si="50"/>
        <v>634.75271092303615</v>
      </c>
      <c r="O67" s="93">
        <f t="shared" si="51"/>
        <v>953.89507154213027</v>
      </c>
      <c r="P67" s="93">
        <f t="shared" si="52"/>
        <v>1365.3289201489449</v>
      </c>
      <c r="Q67" s="93">
        <f t="shared" si="53"/>
        <v>1759.5307917888563</v>
      </c>
    </row>
    <row r="68" spans="1:18" x14ac:dyDescent="0.25">
      <c r="K68" s="82">
        <f t="shared" si="47"/>
        <v>500</v>
      </c>
      <c r="L68" s="344">
        <f t="shared" si="48"/>
        <v>121.23661345726408</v>
      </c>
      <c r="M68" s="93">
        <f t="shared" si="49"/>
        <v>244.76808224207565</v>
      </c>
      <c r="N68" s="93">
        <f t="shared" si="50"/>
        <v>541.82187605824583</v>
      </c>
      <c r="O68" s="93">
        <f t="shared" si="51"/>
        <v>893.07864053584717</v>
      </c>
      <c r="P68" s="93">
        <f t="shared" si="52"/>
        <v>1271.431323444423</v>
      </c>
      <c r="Q68" s="93">
        <f t="shared" si="53"/>
        <v>1668.1146828844485</v>
      </c>
    </row>
    <row r="69" spans="1:18" x14ac:dyDescent="0.25">
      <c r="K69" s="82">
        <f t="shared" si="47"/>
        <v>750</v>
      </c>
      <c r="L69" s="344">
        <f t="shared" si="48"/>
        <v>111.66945840312674</v>
      </c>
      <c r="M69" s="93">
        <f t="shared" si="49"/>
        <v>222.2222222222222</v>
      </c>
      <c r="N69" s="93">
        <f t="shared" si="50"/>
        <v>480.33623536475528</v>
      </c>
      <c r="O69" s="93">
        <f t="shared" si="51"/>
        <v>809.17060013486173</v>
      </c>
      <c r="P69" s="93">
        <f t="shared" si="52"/>
        <v>1156.0693641618495</v>
      </c>
      <c r="Q69" s="93">
        <f t="shared" si="53"/>
        <v>1462.9686071319718</v>
      </c>
    </row>
    <row r="70" spans="1:18" x14ac:dyDescent="0.25">
      <c r="K70" s="82">
        <f t="shared" si="47"/>
        <v>1000</v>
      </c>
      <c r="L70" s="344">
        <f t="shared" si="48"/>
        <v>98.360655737704917</v>
      </c>
      <c r="M70" s="93">
        <f t="shared" si="49"/>
        <v>194.70404984423675</v>
      </c>
      <c r="N70" s="93">
        <f t="shared" si="50"/>
        <v>437.47721472839959</v>
      </c>
      <c r="O70" s="93">
        <f t="shared" si="51"/>
        <v>719.56825904457321</v>
      </c>
      <c r="P70" s="93">
        <f t="shared" si="52"/>
        <v>1024.5265445513814</v>
      </c>
      <c r="Q70" s="93">
        <f t="shared" si="53"/>
        <v>1315.9698423577793</v>
      </c>
    </row>
    <row r="71" spans="1:18" x14ac:dyDescent="0.25">
      <c r="K71" s="83"/>
      <c r="M71" s="332"/>
    </row>
    <row r="72" spans="1:18" x14ac:dyDescent="0.25">
      <c r="K72" s="335">
        <f>B80</f>
        <v>40</v>
      </c>
      <c r="L72" s="40">
        <f t="shared" ref="L72:Q72" si="54">_xlfn.FORECAST.LINEAR($B$80,L65:L70,$K$65:$K$70)</f>
        <v>149.76049067700535</v>
      </c>
      <c r="M72" s="40">
        <f t="shared" si="54"/>
        <v>308.56811336709399</v>
      </c>
      <c r="N72" s="40">
        <f t="shared" si="54"/>
        <v>702.88410071141277</v>
      </c>
      <c r="O72" s="40">
        <f t="shared" si="54"/>
        <v>1084.308463060524</v>
      </c>
      <c r="P72" s="40">
        <f t="shared" si="54"/>
        <v>1518.7818210711125</v>
      </c>
      <c r="Q72" s="40">
        <f t="shared" si="54"/>
        <v>1953.1750433911941</v>
      </c>
      <c r="R72" s="335" t="s">
        <v>28</v>
      </c>
    </row>
    <row r="73" spans="1:18" x14ac:dyDescent="0.25">
      <c r="J73" s="335" t="s">
        <v>28</v>
      </c>
      <c r="K73" s="94">
        <f>B79</f>
        <v>100</v>
      </c>
      <c r="L73" s="95">
        <f>_xlfn.FORECAST.LINEAR(K73,L64:Q64,L72:Q72)</f>
        <v>92.9046977026006</v>
      </c>
      <c r="M73" s="332" t="s">
        <v>18</v>
      </c>
    </row>
    <row r="77" spans="1:18" x14ac:dyDescent="0.25">
      <c r="A77" s="49" t="s">
        <v>346</v>
      </c>
      <c r="B77" s="77">
        <v>1670</v>
      </c>
      <c r="C77" s="40" t="s">
        <v>28</v>
      </c>
      <c r="M77" s="332"/>
      <c r="N77" s="335" t="s">
        <v>347</v>
      </c>
      <c r="O77" s="335" t="s">
        <v>348</v>
      </c>
      <c r="P77" s="335" t="s">
        <v>347</v>
      </c>
      <c r="Q77" s="335" t="s">
        <v>348</v>
      </c>
    </row>
    <row r="78" spans="1:18" x14ac:dyDescent="0.25">
      <c r="B78" s="77">
        <v>1000</v>
      </c>
      <c r="C78" s="40" t="s">
        <v>18</v>
      </c>
      <c r="M78" s="332"/>
      <c r="N78" s="40">
        <f t="shared" ref="N78:N83" si="55">C87</f>
        <v>5.9350000000000005</v>
      </c>
      <c r="O78" s="201">
        <f t="shared" ref="O78:O83" si="56">L65</f>
        <v>161.7686708007549</v>
      </c>
      <c r="P78" s="40">
        <f t="shared" ref="P78:P83" si="57">D87</f>
        <v>12.07</v>
      </c>
      <c r="Q78" s="201">
        <f t="shared" ref="Q78:Q83" si="58">M65</f>
        <v>335.4579000335458</v>
      </c>
    </row>
    <row r="79" spans="1:18" x14ac:dyDescent="0.25">
      <c r="A79" s="40" t="s">
        <v>349</v>
      </c>
      <c r="B79" s="78">
        <f>Q</f>
        <v>100</v>
      </c>
      <c r="C79" s="40" t="s">
        <v>28</v>
      </c>
      <c r="M79" s="332"/>
      <c r="N79" s="40">
        <f t="shared" si="55"/>
        <v>9.3000000000000007</v>
      </c>
      <c r="O79" s="201">
        <f t="shared" si="56"/>
        <v>141.27619496114903</v>
      </c>
      <c r="P79" s="40">
        <f t="shared" si="57"/>
        <v>18.465</v>
      </c>
      <c r="Q79" s="201">
        <f t="shared" si="58"/>
        <v>289.85507246376812</v>
      </c>
    </row>
    <row r="80" spans="1:18" x14ac:dyDescent="0.25">
      <c r="A80" s="40" t="s">
        <v>350</v>
      </c>
      <c r="B80" s="78">
        <f>Pavg</f>
        <v>40</v>
      </c>
      <c r="C80" s="40">
        <v>1000</v>
      </c>
      <c r="D80" s="40" t="s">
        <v>351</v>
      </c>
      <c r="M80" s="332"/>
      <c r="N80" s="40">
        <f t="shared" si="55"/>
        <v>11.64</v>
      </c>
      <c r="O80" s="201">
        <f t="shared" si="56"/>
        <v>132.56738842244806</v>
      </c>
      <c r="P80" s="40">
        <f t="shared" si="57"/>
        <v>23.19</v>
      </c>
      <c r="Q80" s="201">
        <f t="shared" si="58"/>
        <v>270.27027027027026</v>
      </c>
    </row>
    <row r="81" spans="1:17" x14ac:dyDescent="0.25">
      <c r="A81" s="40" t="s">
        <v>352</v>
      </c>
      <c r="B81" s="77">
        <v>0</v>
      </c>
      <c r="C81" s="40" t="s">
        <v>353</v>
      </c>
      <c r="E81" s="40" t="s">
        <v>354</v>
      </c>
      <c r="M81" s="332"/>
      <c r="N81" s="40">
        <f t="shared" si="55"/>
        <v>13.56</v>
      </c>
      <c r="O81" s="201">
        <f t="shared" si="56"/>
        <v>121.23661345726408</v>
      </c>
      <c r="P81" s="40">
        <f t="shared" si="57"/>
        <v>28.635000000000002</v>
      </c>
      <c r="Q81" s="201">
        <f t="shared" si="58"/>
        <v>244.76808224207565</v>
      </c>
    </row>
    <row r="82" spans="1:17" x14ac:dyDescent="0.25">
      <c r="A82" s="40" t="s">
        <v>355</v>
      </c>
      <c r="B82" s="77">
        <f>L73</f>
        <v>92.9046977026006</v>
      </c>
      <c r="M82" s="332"/>
      <c r="N82" s="40">
        <f t="shared" si="55"/>
        <v>17.489999999999998</v>
      </c>
      <c r="O82" s="201">
        <f t="shared" si="56"/>
        <v>111.66945840312674</v>
      </c>
      <c r="P82" s="40">
        <f t="shared" si="57"/>
        <v>36</v>
      </c>
      <c r="Q82" s="201">
        <f t="shared" si="58"/>
        <v>222.2222222222222</v>
      </c>
    </row>
    <row r="83" spans="1:17" x14ac:dyDescent="0.25">
      <c r="A83" s="40" t="s">
        <v>356</v>
      </c>
      <c r="B83" s="77">
        <f>(1+(B80/C80*B81))*B82</f>
        <v>92.9046977026006</v>
      </c>
      <c r="M83" s="332"/>
      <c r="N83" s="40">
        <f t="shared" si="55"/>
        <v>23.4</v>
      </c>
      <c r="O83" s="201">
        <f t="shared" si="56"/>
        <v>98.360655737704917</v>
      </c>
      <c r="P83" s="40">
        <f t="shared" si="57"/>
        <v>46.11</v>
      </c>
      <c r="Q83" s="201">
        <f t="shared" si="58"/>
        <v>194.70404984423675</v>
      </c>
    </row>
    <row r="84" spans="1:17" x14ac:dyDescent="0.25">
      <c r="A84" s="40" t="s">
        <v>357</v>
      </c>
      <c r="M84" s="332"/>
    </row>
    <row r="85" spans="1:17" x14ac:dyDescent="0.25">
      <c r="A85" s="79" t="s">
        <v>205</v>
      </c>
      <c r="E85" s="335" t="s">
        <v>358</v>
      </c>
      <c r="H85" s="40" t="s">
        <v>359</v>
      </c>
      <c r="M85" s="332"/>
    </row>
    <row r="86" spans="1:17" x14ac:dyDescent="0.25">
      <c r="A86" s="80" t="s">
        <v>18</v>
      </c>
      <c r="B86" s="77">
        <v>0.1</v>
      </c>
      <c r="C86" s="81">
        <f>B11</f>
        <v>100</v>
      </c>
      <c r="D86" s="80">
        <f>B18</f>
        <v>200</v>
      </c>
      <c r="E86" s="80">
        <f>B25</f>
        <v>400</v>
      </c>
      <c r="F86" s="80">
        <f>B32</f>
        <v>600</v>
      </c>
      <c r="G86" s="80">
        <f>B39</f>
        <v>800</v>
      </c>
      <c r="H86" s="80">
        <f>B46</f>
        <v>1000</v>
      </c>
      <c r="I86" s="40">
        <f>H86*10</f>
        <v>10000</v>
      </c>
      <c r="M86" s="332"/>
    </row>
    <row r="87" spans="1:17" x14ac:dyDescent="0.25">
      <c r="A87" s="82">
        <f>Q3</f>
        <v>0</v>
      </c>
      <c r="B87" s="77">
        <f t="shared" ref="B87:B92" si="59">$J$7</f>
        <v>0.22999999999999998</v>
      </c>
      <c r="C87" s="41">
        <f>F11</f>
        <v>5.9350000000000005</v>
      </c>
      <c r="D87" s="43">
        <f>F18</f>
        <v>12.07</v>
      </c>
      <c r="E87" s="43">
        <f t="shared" ref="E87:E92" si="60">F25</f>
        <v>23.59</v>
      </c>
      <c r="F87" s="43">
        <f t="shared" ref="F87:F92" si="61">F32</f>
        <v>36.25</v>
      </c>
      <c r="G87" s="43">
        <f t="shared" ref="G87:G92" si="62">F39</f>
        <v>53.290000000000006</v>
      </c>
      <c r="H87" s="43">
        <f t="shared" ref="H87:H92" si="63">F46</f>
        <v>70.33</v>
      </c>
      <c r="I87" s="40">
        <f t="shared" ref="I87:I92" si="64">H87*10</f>
        <v>703.3</v>
      </c>
      <c r="J87" s="94">
        <f t="shared" ref="J87:J92" ca="1" si="65">_xlfn.FORECAST.LINEAR(__RPM1,OFFSET(B87:H87,0,MATCH(__RPM1,$B$86:$H$86,1)-1,1,2),OFFSET($B$86:$H$86,0,MATCH(__RPM1,$B$86:$H$86,1)-1,1,2))</f>
        <v>5.5298078117451102</v>
      </c>
      <c r="M87" s="332"/>
    </row>
    <row r="88" spans="1:17" x14ac:dyDescent="0.25">
      <c r="A88" s="82">
        <f>Q4</f>
        <v>100</v>
      </c>
      <c r="B88" s="77">
        <f t="shared" si="59"/>
        <v>0.22999999999999998</v>
      </c>
      <c r="C88" s="41">
        <f>E12</f>
        <v>9.3000000000000007</v>
      </c>
      <c r="D88" s="43">
        <f>E19</f>
        <v>18.465</v>
      </c>
      <c r="E88" s="43">
        <f t="shared" si="60"/>
        <v>33.970000000000006</v>
      </c>
      <c r="F88" s="43">
        <f t="shared" si="61"/>
        <v>52.39</v>
      </c>
      <c r="G88" s="43">
        <f t="shared" si="62"/>
        <v>71.17</v>
      </c>
      <c r="H88" s="43">
        <f t="shared" si="63"/>
        <v>94.089999999999989</v>
      </c>
      <c r="I88" s="40">
        <f t="shared" si="64"/>
        <v>940.89999999999986</v>
      </c>
      <c r="J88" s="94">
        <f t="shared" ca="1" si="65"/>
        <v>8.6558118935193953</v>
      </c>
      <c r="M88" s="332"/>
    </row>
    <row r="89" spans="1:17" x14ac:dyDescent="0.25">
      <c r="A89" s="82">
        <f>Q5</f>
        <v>250</v>
      </c>
      <c r="B89" s="77">
        <f t="shared" si="59"/>
        <v>0.22999999999999998</v>
      </c>
      <c r="C89" s="41">
        <f>E13</f>
        <v>11.64</v>
      </c>
      <c r="D89" s="43">
        <f>E20</f>
        <v>23.19</v>
      </c>
      <c r="E89" s="43">
        <f t="shared" si="60"/>
        <v>44.410000000000004</v>
      </c>
      <c r="F89" s="43">
        <f t="shared" si="61"/>
        <v>64.33</v>
      </c>
      <c r="G89" s="43">
        <f t="shared" si="62"/>
        <v>89.289999999999992</v>
      </c>
      <c r="H89" s="43">
        <f t="shared" si="63"/>
        <v>116.41</v>
      </c>
      <c r="I89" s="40">
        <f t="shared" si="64"/>
        <v>1164.0999999999999</v>
      </c>
      <c r="J89" s="94">
        <f t="shared" ca="1" si="65"/>
        <v>10.82961562349022</v>
      </c>
      <c r="M89" s="332"/>
    </row>
    <row r="90" spans="1:17" x14ac:dyDescent="0.25">
      <c r="A90" s="82">
        <f>Q6</f>
        <v>500</v>
      </c>
      <c r="B90" s="77">
        <f t="shared" si="59"/>
        <v>0.22999999999999998</v>
      </c>
      <c r="C90" s="41">
        <f>E14</f>
        <v>13.56</v>
      </c>
      <c r="D90" s="43">
        <f>E21</f>
        <v>28.635000000000002</v>
      </c>
      <c r="E90" s="43">
        <f t="shared" si="60"/>
        <v>59.59</v>
      </c>
      <c r="F90" s="43">
        <f t="shared" si="61"/>
        <v>74.289999999999992</v>
      </c>
      <c r="G90" s="43">
        <f t="shared" si="62"/>
        <v>103.63</v>
      </c>
      <c r="H90" s="43">
        <f t="shared" si="63"/>
        <v>137.89000000000001</v>
      </c>
      <c r="I90" s="40">
        <f t="shared" si="64"/>
        <v>1378.9</v>
      </c>
      <c r="J90" s="94">
        <f t="shared" ca="1" si="65"/>
        <v>12.613249453209871</v>
      </c>
      <c r="M90" s="332"/>
    </row>
    <row r="91" spans="1:17" x14ac:dyDescent="0.25">
      <c r="A91" s="82">
        <f>Q7</f>
        <v>750</v>
      </c>
      <c r="B91" s="77">
        <f t="shared" si="59"/>
        <v>0.22999999999999998</v>
      </c>
      <c r="C91" s="41">
        <f>E15</f>
        <v>17.489999999999998</v>
      </c>
      <c r="D91" s="43">
        <f>E22</f>
        <v>36</v>
      </c>
      <c r="E91" s="43">
        <f t="shared" si="60"/>
        <v>67.27</v>
      </c>
      <c r="F91" s="43">
        <f t="shared" si="61"/>
        <v>93.25</v>
      </c>
      <c r="G91" s="43">
        <f t="shared" si="62"/>
        <v>123.49</v>
      </c>
      <c r="H91" s="43">
        <f t="shared" si="63"/>
        <v>165.94142857142856</v>
      </c>
      <c r="I91" s="40">
        <f t="shared" si="64"/>
        <v>1659.4142857142856</v>
      </c>
      <c r="J91" s="94">
        <f t="shared" ca="1" si="65"/>
        <v>16.26412494841728</v>
      </c>
      <c r="M91" s="332"/>
    </row>
    <row r="92" spans="1:17" x14ac:dyDescent="0.25">
      <c r="A92" s="82">
        <f>Q8+0.1</f>
        <v>1000.1</v>
      </c>
      <c r="B92" s="77">
        <f t="shared" si="59"/>
        <v>0.22999999999999998</v>
      </c>
      <c r="C92" s="41">
        <f>E16</f>
        <v>23.4</v>
      </c>
      <c r="D92" s="43">
        <f>E23</f>
        <v>46.11</v>
      </c>
      <c r="E92" s="43">
        <f t="shared" si="60"/>
        <v>88.39</v>
      </c>
      <c r="F92" s="43">
        <f t="shared" si="61"/>
        <v>119.95</v>
      </c>
      <c r="G92" s="43">
        <f t="shared" si="62"/>
        <v>143.31285714285715</v>
      </c>
      <c r="H92" s="43">
        <f t="shared" si="63"/>
        <v>190.81</v>
      </c>
      <c r="I92" s="40">
        <f t="shared" si="64"/>
        <v>1908.1</v>
      </c>
      <c r="J92" s="94">
        <f t="shared" ca="1" si="65"/>
        <v>21.754372830523081</v>
      </c>
      <c r="M92" s="332"/>
    </row>
    <row r="95" spans="1:17" x14ac:dyDescent="0.25">
      <c r="A95" s="40" t="s">
        <v>360</v>
      </c>
      <c r="B95" s="84">
        <f>B83</f>
        <v>92.9046977026006</v>
      </c>
      <c r="C95" s="40" t="s">
        <v>18</v>
      </c>
      <c r="M95" s="332"/>
    </row>
    <row r="96" spans="1:17" x14ac:dyDescent="0.25">
      <c r="A96" s="40" t="s">
        <v>361</v>
      </c>
      <c r="B96" s="84">
        <f>B80</f>
        <v>40</v>
      </c>
      <c r="C96" s="40" t="s">
        <v>97</v>
      </c>
      <c r="M96" s="332"/>
    </row>
    <row r="97" spans="1:16" x14ac:dyDescent="0.25">
      <c r="A97" s="40" t="s">
        <v>362</v>
      </c>
      <c r="B97" s="85">
        <f ca="1">_xlfn.FORECAST.LINEAR(Press1,OFFSET(J87:J92,MATCH(Press1,A87:A92,1)-1,0,2),OFFSET(A87:A92,MATCH(Press1,A87:A92,1)-1,0,2))</f>
        <v>6.7802094444548242</v>
      </c>
      <c r="C97" s="40" t="s">
        <v>19</v>
      </c>
      <c r="M97" s="332"/>
    </row>
    <row r="104" spans="1:16" x14ac:dyDescent="0.25">
      <c r="K104" s="201">
        <f t="shared" ref="K104:P104" si="66">L70</f>
        <v>98.360655737704917</v>
      </c>
      <c r="L104" s="201">
        <f t="shared" si="66"/>
        <v>194.70404984423675</v>
      </c>
      <c r="M104" s="201">
        <f t="shared" si="66"/>
        <v>437.47721472839959</v>
      </c>
      <c r="N104" s="201">
        <f t="shared" si="66"/>
        <v>719.56825904457321</v>
      </c>
      <c r="O104" s="201">
        <f t="shared" si="66"/>
        <v>1024.5265445513814</v>
      </c>
      <c r="P104" s="201">
        <f t="shared" si="66"/>
        <v>1315.9698423577793</v>
      </c>
    </row>
    <row r="105" spans="1:16" x14ac:dyDescent="0.25">
      <c r="K105" s="344">
        <f t="shared" ref="K105:P105" si="67">L64</f>
        <v>100</v>
      </c>
      <c r="L105" s="344">
        <f t="shared" si="67"/>
        <v>200</v>
      </c>
      <c r="M105" s="344">
        <f t="shared" si="67"/>
        <v>400</v>
      </c>
      <c r="N105" s="344">
        <f t="shared" si="67"/>
        <v>600</v>
      </c>
      <c r="O105" s="344">
        <f t="shared" si="67"/>
        <v>800</v>
      </c>
      <c r="P105" s="344">
        <f t="shared" si="67"/>
        <v>1000</v>
      </c>
    </row>
    <row r="106" spans="1:16" x14ac:dyDescent="0.25">
      <c r="M106" s="40"/>
    </row>
  </sheetData>
  <mergeCells count="3">
    <mergeCell ref="C9:E9"/>
    <mergeCell ref="F9:H9"/>
    <mergeCell ref="L9:N9"/>
  </mergeCells>
  <pageMargins left="0.70866141732283472" right="0.70866141732283472" top="0.74803149606299213" bottom="0.74803149606299213" header="0.31496062992125984" footer="0.31496062992125984"/>
  <pageSetup scale="63" orientation="landscape" r:id="rId1"/>
  <rowBreaks count="1" manualBreakCount="1">
    <brk id="54" max="1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A8B08-FF3B-431C-B4C5-40D923B03256}">
  <sheetPr codeName="Sheet13">
    <tabColor rgb="FFFFFF00"/>
  </sheetPr>
  <dimension ref="A1:AA97"/>
  <sheetViews>
    <sheetView zoomScale="85" zoomScaleNormal="85" workbookViewId="0">
      <selection activeCell="S31" sqref="S31"/>
    </sheetView>
  </sheetViews>
  <sheetFormatPr defaultColWidth="9.140625" defaultRowHeight="15" x14ac:dyDescent="0.25"/>
  <cols>
    <col min="1" max="1" width="14.7109375" style="40" customWidth="1"/>
    <col min="2" max="2" width="11.28515625" style="77" customWidth="1"/>
    <col min="3" max="3" width="12.42578125" style="40" customWidth="1"/>
    <col min="4" max="4" width="19.140625" style="40" customWidth="1"/>
    <col min="5" max="5" width="13.7109375" style="40" customWidth="1"/>
    <col min="6" max="6" width="14.85546875" style="40" customWidth="1"/>
    <col min="7" max="7" width="13.140625" style="40" customWidth="1"/>
    <col min="8" max="8" width="9.140625" style="40"/>
    <col min="9" max="9" width="12.140625" style="40" customWidth="1"/>
    <col min="10" max="10" width="10.5703125" style="40" customWidth="1"/>
    <col min="11" max="11" width="12" style="40" customWidth="1"/>
    <col min="12" max="12" width="9.140625" style="40" customWidth="1"/>
    <col min="13" max="13" width="9.140625" style="44"/>
    <col min="14" max="16384" width="9.140625" style="40"/>
  </cols>
  <sheetData>
    <row r="1" spans="1:27" x14ac:dyDescent="0.25">
      <c r="B1" s="41" t="s">
        <v>305</v>
      </c>
      <c r="C1" s="42">
        <v>44279</v>
      </c>
      <c r="D1" s="331" t="s">
        <v>367</v>
      </c>
      <c r="E1" s="43"/>
      <c r="F1" s="43"/>
      <c r="M1" s="332"/>
    </row>
    <row r="2" spans="1:27" ht="21" x14ac:dyDescent="0.35">
      <c r="A2" s="45" t="s">
        <v>379</v>
      </c>
      <c r="B2" s="46"/>
      <c r="C2" s="45"/>
      <c r="D2" s="45"/>
      <c r="E2" s="45"/>
      <c r="F2" s="45"/>
      <c r="G2" s="45"/>
      <c r="H2" s="45"/>
      <c r="I2" s="45"/>
      <c r="J2" s="45"/>
      <c r="K2" s="45"/>
      <c r="L2" s="45"/>
      <c r="M2" s="40"/>
      <c r="P2" s="47" t="s">
        <v>309</v>
      </c>
      <c r="Q2" s="49" t="s">
        <v>310</v>
      </c>
    </row>
    <row r="3" spans="1:27" x14ac:dyDescent="0.25">
      <c r="A3" s="47" t="s">
        <v>311</v>
      </c>
      <c r="B3" s="128"/>
      <c r="C3" s="47" t="s">
        <v>372</v>
      </c>
      <c r="D3" s="47"/>
      <c r="E3" s="47"/>
      <c r="F3" s="47"/>
      <c r="G3" s="48"/>
      <c r="H3" s="43" t="s">
        <v>335</v>
      </c>
      <c r="I3" s="49" t="s">
        <v>380</v>
      </c>
      <c r="J3" s="50" t="s">
        <v>19</v>
      </c>
      <c r="K3" s="49"/>
      <c r="L3" s="49"/>
      <c r="M3" s="40"/>
      <c r="P3" s="47">
        <v>20</v>
      </c>
      <c r="Q3" s="49">
        <v>0</v>
      </c>
    </row>
    <row r="4" spans="1:27" x14ac:dyDescent="0.25">
      <c r="A4" s="128" t="s">
        <v>313</v>
      </c>
      <c r="B4" s="128"/>
      <c r="C4" s="128">
        <v>0.625</v>
      </c>
      <c r="D4" s="128"/>
      <c r="E4" s="128"/>
      <c r="F4" s="128"/>
      <c r="G4" s="51" t="s">
        <v>314</v>
      </c>
      <c r="K4" s="128"/>
      <c r="L4" s="50"/>
      <c r="M4" s="336"/>
      <c r="O4" s="47"/>
      <c r="P4" s="47">
        <f>(P$8-P$3)/5+P3</f>
        <v>136</v>
      </c>
      <c r="Q4" s="49">
        <v>100</v>
      </c>
    </row>
    <row r="5" spans="1:27" x14ac:dyDescent="0.25">
      <c r="A5" s="128" t="s">
        <v>317</v>
      </c>
      <c r="B5" s="128"/>
      <c r="C5" s="128" t="s">
        <v>374</v>
      </c>
      <c r="D5" s="128"/>
      <c r="E5" s="128"/>
      <c r="F5" s="128"/>
      <c r="G5" s="52" t="s">
        <v>318</v>
      </c>
      <c r="H5" s="43">
        <v>105</v>
      </c>
      <c r="I5" s="128">
        <v>3</v>
      </c>
      <c r="J5" s="40">
        <f>(H5)*60/I5/1000</f>
        <v>2.1</v>
      </c>
      <c r="K5" s="128"/>
      <c r="L5" s="50"/>
      <c r="M5" s="336"/>
      <c r="O5" s="47"/>
      <c r="P5" s="47">
        <f>(P$8-P$3)/5+P4</f>
        <v>252</v>
      </c>
      <c r="Q5" s="49">
        <v>250</v>
      </c>
    </row>
    <row r="6" spans="1:27" x14ac:dyDescent="0.25">
      <c r="A6" s="128" t="s">
        <v>320</v>
      </c>
      <c r="B6" s="128"/>
      <c r="C6" s="128">
        <f>0.15-0.014</f>
        <v>0.13599999999999998</v>
      </c>
      <c r="D6" s="128"/>
      <c r="E6" s="128"/>
      <c r="F6" s="128"/>
      <c r="G6" s="51" t="s">
        <v>321</v>
      </c>
      <c r="H6" s="43">
        <v>87</v>
      </c>
      <c r="I6" s="128">
        <v>3</v>
      </c>
      <c r="J6" s="40">
        <f>(H6)*60/I6/1000</f>
        <v>1.74</v>
      </c>
      <c r="K6" s="128"/>
      <c r="L6" s="50"/>
      <c r="M6" s="336"/>
      <c r="O6" s="47"/>
      <c r="P6" s="47">
        <f>(P$8-P$3)/5+P5</f>
        <v>368</v>
      </c>
      <c r="Q6" s="49">
        <v>500</v>
      </c>
    </row>
    <row r="7" spans="1:27" x14ac:dyDescent="0.25">
      <c r="A7" s="53" t="s">
        <v>322</v>
      </c>
      <c r="B7" s="128"/>
      <c r="C7" s="128" t="s">
        <v>378</v>
      </c>
      <c r="D7" s="128"/>
      <c r="E7" s="128"/>
      <c r="F7" s="128"/>
      <c r="I7" s="40" t="s">
        <v>324</v>
      </c>
      <c r="J7" s="50">
        <f>J5-J6</f>
        <v>0.3600000000000001</v>
      </c>
      <c r="K7" s="50" t="s">
        <v>19</v>
      </c>
      <c r="L7" s="50"/>
      <c r="M7" s="336"/>
      <c r="O7" s="47"/>
      <c r="P7" s="47">
        <f>(P$8-P$3)/5+P6</f>
        <v>484</v>
      </c>
      <c r="Q7" s="49">
        <v>750</v>
      </c>
    </row>
    <row r="8" spans="1:27" ht="15.75" thickBot="1" x14ac:dyDescent="0.3">
      <c r="A8" s="53" t="s">
        <v>326</v>
      </c>
      <c r="B8" s="128"/>
      <c r="C8" s="126" t="s">
        <v>371</v>
      </c>
      <c r="D8" s="53"/>
      <c r="E8" s="53"/>
      <c r="F8" s="53"/>
      <c r="G8" s="40" t="s">
        <v>328</v>
      </c>
      <c r="J8" s="50"/>
      <c r="K8" s="50"/>
      <c r="L8" s="50"/>
      <c r="M8" s="336"/>
      <c r="O8" s="54"/>
      <c r="P8" s="54">
        <v>600</v>
      </c>
      <c r="Q8" s="49">
        <v>1000</v>
      </c>
    </row>
    <row r="9" spans="1:27" x14ac:dyDescent="0.25">
      <c r="A9" s="47" t="s">
        <v>205</v>
      </c>
      <c r="C9" s="394" t="s">
        <v>329</v>
      </c>
      <c r="D9" s="395"/>
      <c r="E9" s="396"/>
      <c r="F9" s="397" t="s">
        <v>330</v>
      </c>
      <c r="G9" s="397"/>
      <c r="H9" s="397"/>
      <c r="I9" s="55"/>
      <c r="J9" s="56" t="s">
        <v>332</v>
      </c>
      <c r="K9" s="57" t="s">
        <v>333</v>
      </c>
      <c r="L9" s="398"/>
      <c r="M9" s="399"/>
      <c r="N9" s="399"/>
      <c r="O9" s="58"/>
      <c r="P9" s="59"/>
      <c r="Z9" s="40">
        <v>10</v>
      </c>
      <c r="AA9" s="40">
        <f t="shared" ref="AA9:AA14" si="0">Z9/400*600</f>
        <v>15</v>
      </c>
    </row>
    <row r="10" spans="1:27" ht="15.75" thickBot="1" x14ac:dyDescent="0.3">
      <c r="A10" s="128" t="s">
        <v>8</v>
      </c>
      <c r="B10" s="128" t="s">
        <v>18</v>
      </c>
      <c r="C10" s="53" t="s">
        <v>335</v>
      </c>
      <c r="D10" s="50" t="s">
        <v>336</v>
      </c>
      <c r="E10" s="61" t="s">
        <v>19</v>
      </c>
      <c r="F10" s="62" t="s">
        <v>337</v>
      </c>
      <c r="G10" s="53" t="s">
        <v>338</v>
      </c>
      <c r="H10" s="53" t="s">
        <v>339</v>
      </c>
      <c r="I10" s="64" t="s">
        <v>340</v>
      </c>
      <c r="J10" s="60" t="s">
        <v>19</v>
      </c>
      <c r="K10" s="63" t="s">
        <v>341</v>
      </c>
      <c r="L10" s="63"/>
      <c r="M10" s="65" t="s">
        <v>342</v>
      </c>
      <c r="N10" s="66"/>
      <c r="O10" s="67"/>
      <c r="P10" s="68"/>
      <c r="Q10" s="69"/>
      <c r="R10" s="70"/>
      <c r="S10" s="70"/>
      <c r="Z10" s="40">
        <v>50</v>
      </c>
      <c r="AA10" s="40">
        <f t="shared" si="0"/>
        <v>75</v>
      </c>
    </row>
    <row r="11" spans="1:27" x14ac:dyDescent="0.25">
      <c r="A11" s="74">
        <f t="shared" ref="A11:A16" si="1">Q3</f>
        <v>0</v>
      </c>
      <c r="B11" s="128">
        <f t="shared" ref="B11:B16" si="2">P$3</f>
        <v>20</v>
      </c>
      <c r="C11" s="43">
        <v>61</v>
      </c>
      <c r="D11" s="43">
        <f t="shared" ref="D11:D16" si="3">60/60</f>
        <v>1</v>
      </c>
      <c r="E11" s="343">
        <f t="shared" ref="E11:E16" si="4">60/D11*C11/1000</f>
        <v>3.66</v>
      </c>
      <c r="F11" s="100">
        <f t="shared" ref="F11:F16" si="5">E11-$J$7</f>
        <v>3.3</v>
      </c>
      <c r="G11" s="24">
        <v>252</v>
      </c>
      <c r="H11" s="24">
        <v>200</v>
      </c>
      <c r="I11" s="72">
        <f t="shared" ref="I11:I16" si="6">60*H11/G11</f>
        <v>47.61904761904762</v>
      </c>
      <c r="J11" s="101">
        <f t="shared" ref="J11:J16" si="7">I11/100*A11/100*0.8</f>
        <v>0</v>
      </c>
      <c r="K11" s="340">
        <f t="shared" ref="K11:K16" si="8">J11/E11</f>
        <v>0</v>
      </c>
      <c r="L11" s="41"/>
      <c r="M11" s="341"/>
      <c r="N11" s="73"/>
      <c r="O11" s="43"/>
      <c r="P11" s="43"/>
      <c r="Q11" s="69"/>
      <c r="R11" s="70"/>
      <c r="S11" s="70"/>
    </row>
    <row r="12" spans="1:27" x14ac:dyDescent="0.25">
      <c r="A12" s="74">
        <f t="shared" si="1"/>
        <v>100</v>
      </c>
      <c r="B12" s="128">
        <f t="shared" si="2"/>
        <v>20</v>
      </c>
      <c r="C12" s="43">
        <v>108</v>
      </c>
      <c r="D12" s="43">
        <f t="shared" si="3"/>
        <v>1</v>
      </c>
      <c r="E12" s="343">
        <f t="shared" si="4"/>
        <v>6.48</v>
      </c>
      <c r="F12" s="100">
        <f t="shared" si="5"/>
        <v>6.12</v>
      </c>
      <c r="G12" s="24">
        <v>254</v>
      </c>
      <c r="H12" s="24">
        <v>200</v>
      </c>
      <c r="I12" s="72">
        <f t="shared" si="6"/>
        <v>47.244094488188978</v>
      </c>
      <c r="J12" s="101">
        <f t="shared" si="7"/>
        <v>0.37795275590551181</v>
      </c>
      <c r="K12" s="340">
        <f t="shared" si="8"/>
        <v>5.8326042578011078E-2</v>
      </c>
      <c r="L12" s="41"/>
      <c r="M12" s="341">
        <f>I12/$I$12</f>
        <v>1</v>
      </c>
      <c r="N12" s="73"/>
      <c r="O12" s="43"/>
      <c r="P12" s="43"/>
      <c r="Z12" s="40">
        <v>100</v>
      </c>
      <c r="AA12" s="40">
        <f t="shared" si="0"/>
        <v>150</v>
      </c>
    </row>
    <row r="13" spans="1:27" x14ac:dyDescent="0.25">
      <c r="A13" s="74">
        <f t="shared" si="1"/>
        <v>250</v>
      </c>
      <c r="B13" s="128">
        <f t="shared" si="2"/>
        <v>20</v>
      </c>
      <c r="C13" s="43">
        <v>148</v>
      </c>
      <c r="D13" s="43">
        <f t="shared" si="3"/>
        <v>1</v>
      </c>
      <c r="E13" s="343">
        <f t="shared" si="4"/>
        <v>8.8800000000000008</v>
      </c>
      <c r="F13" s="100">
        <f t="shared" si="5"/>
        <v>8.5200000000000014</v>
      </c>
      <c r="G13" s="24">
        <v>255</v>
      </c>
      <c r="H13" s="24">
        <v>200</v>
      </c>
      <c r="I13" s="72">
        <f t="shared" si="6"/>
        <v>47.058823529411768</v>
      </c>
      <c r="J13" s="101">
        <f t="shared" si="7"/>
        <v>0.94117647058823539</v>
      </c>
      <c r="K13" s="340">
        <f t="shared" si="8"/>
        <v>0.10598834128245893</v>
      </c>
      <c r="L13" s="41"/>
      <c r="M13" s="341">
        <f>I13/$I$12</f>
        <v>0.99607843137254903</v>
      </c>
      <c r="N13" s="73"/>
      <c r="O13" s="43"/>
      <c r="P13" s="43"/>
      <c r="Z13" s="40">
        <v>200</v>
      </c>
      <c r="AA13" s="40">
        <f t="shared" si="0"/>
        <v>300</v>
      </c>
    </row>
    <row r="14" spans="1:27" x14ac:dyDescent="0.25">
      <c r="A14" s="74">
        <f t="shared" si="1"/>
        <v>500</v>
      </c>
      <c r="B14" s="128">
        <f t="shared" si="2"/>
        <v>20</v>
      </c>
      <c r="C14" s="43">
        <v>175</v>
      </c>
      <c r="D14" s="43">
        <f t="shared" si="3"/>
        <v>1</v>
      </c>
      <c r="E14" s="343">
        <f t="shared" si="4"/>
        <v>10.5</v>
      </c>
      <c r="F14" s="100">
        <f t="shared" si="5"/>
        <v>10.14</v>
      </c>
      <c r="G14" s="24">
        <v>257</v>
      </c>
      <c r="H14" s="24">
        <v>200</v>
      </c>
      <c r="I14" s="72">
        <f t="shared" si="6"/>
        <v>46.692607003891048</v>
      </c>
      <c r="J14" s="101">
        <f t="shared" si="7"/>
        <v>1.8677042801556418</v>
      </c>
      <c r="K14" s="340">
        <f t="shared" si="8"/>
        <v>0.17787659811006112</v>
      </c>
      <c r="L14" s="41"/>
      <c r="M14" s="341">
        <f>I14/$I$12</f>
        <v>0.98832684824902717</v>
      </c>
      <c r="N14" s="73"/>
      <c r="O14" s="43"/>
      <c r="P14" s="43"/>
      <c r="Z14" s="40">
        <v>300</v>
      </c>
      <c r="AA14" s="40">
        <f t="shared" si="0"/>
        <v>450</v>
      </c>
    </row>
    <row r="15" spans="1:27" x14ac:dyDescent="0.25">
      <c r="A15" s="74">
        <f t="shared" si="1"/>
        <v>750</v>
      </c>
      <c r="B15" s="128">
        <f t="shared" si="2"/>
        <v>20</v>
      </c>
      <c r="C15" s="43">
        <v>234</v>
      </c>
      <c r="D15" s="43">
        <f t="shared" si="3"/>
        <v>1</v>
      </c>
      <c r="E15" s="343">
        <f t="shared" si="4"/>
        <v>14.04</v>
      </c>
      <c r="F15" s="100">
        <f t="shared" si="5"/>
        <v>13.68</v>
      </c>
      <c r="G15" s="24">
        <v>257</v>
      </c>
      <c r="H15" s="24">
        <v>200</v>
      </c>
      <c r="I15" s="72">
        <f t="shared" si="6"/>
        <v>46.692607003891048</v>
      </c>
      <c r="J15" s="101">
        <f t="shared" si="7"/>
        <v>2.8015564202334629</v>
      </c>
      <c r="K15" s="340">
        <f t="shared" si="8"/>
        <v>0.19954105557218399</v>
      </c>
      <c r="L15" s="41"/>
      <c r="M15" s="341">
        <f>I15/$I$12</f>
        <v>0.98832684824902717</v>
      </c>
      <c r="N15" s="73"/>
      <c r="O15" s="43"/>
      <c r="P15" s="43"/>
      <c r="Z15" s="40">
        <v>400</v>
      </c>
      <c r="AA15" s="40">
        <f>Z15/400*600</f>
        <v>600</v>
      </c>
    </row>
    <row r="16" spans="1:27" x14ac:dyDescent="0.25">
      <c r="A16" s="74">
        <f t="shared" si="1"/>
        <v>1000</v>
      </c>
      <c r="B16" s="128">
        <f t="shared" si="2"/>
        <v>20</v>
      </c>
      <c r="C16" s="43">
        <v>326</v>
      </c>
      <c r="D16" s="43">
        <f t="shared" si="3"/>
        <v>1</v>
      </c>
      <c r="E16" s="343">
        <f t="shared" si="4"/>
        <v>19.559999999999999</v>
      </c>
      <c r="F16" s="100">
        <f t="shared" si="5"/>
        <v>19.2</v>
      </c>
      <c r="G16" s="24">
        <v>257</v>
      </c>
      <c r="H16" s="24">
        <v>200</v>
      </c>
      <c r="I16" s="72">
        <f t="shared" si="6"/>
        <v>46.692607003891048</v>
      </c>
      <c r="J16" s="101">
        <f t="shared" si="7"/>
        <v>3.7354085603112837</v>
      </c>
      <c r="K16" s="340">
        <f t="shared" si="8"/>
        <v>0.19097180778687545</v>
      </c>
      <c r="L16" s="41"/>
      <c r="M16" s="341">
        <f>I16/$I$12</f>
        <v>0.98832684824902717</v>
      </c>
      <c r="N16" s="73"/>
      <c r="O16" s="43"/>
      <c r="P16" s="43"/>
    </row>
    <row r="17" spans="1:27" x14ac:dyDescent="0.25">
      <c r="A17" s="74"/>
      <c r="B17" s="74"/>
      <c r="C17" s="43"/>
      <c r="D17" s="43"/>
      <c r="E17" s="343"/>
      <c r="F17" s="100"/>
      <c r="G17" s="24"/>
      <c r="H17" s="24"/>
      <c r="I17" s="72"/>
      <c r="J17" s="101"/>
      <c r="K17" s="41"/>
      <c r="L17" s="41"/>
      <c r="M17" s="341"/>
      <c r="N17" s="73"/>
      <c r="O17" s="43"/>
      <c r="P17" s="43"/>
    </row>
    <row r="18" spans="1:27" x14ac:dyDescent="0.25">
      <c r="A18" s="74">
        <f t="shared" ref="A18:A23" si="9">Q3</f>
        <v>0</v>
      </c>
      <c r="B18" s="74">
        <f t="shared" ref="B18:B23" si="10">P$4</f>
        <v>136</v>
      </c>
      <c r="C18" s="43">
        <v>201</v>
      </c>
      <c r="D18" s="43">
        <f t="shared" ref="D18:D23" si="11">60/60</f>
        <v>1</v>
      </c>
      <c r="E18" s="343">
        <f t="shared" ref="E18:E23" si="12">60/D18*C18/1000</f>
        <v>12.06</v>
      </c>
      <c r="F18" s="100">
        <f t="shared" ref="F18:F23" si="13">E18-$J$7</f>
        <v>11.700000000000001</v>
      </c>
      <c r="G18" s="24">
        <v>110</v>
      </c>
      <c r="H18" s="24">
        <v>500</v>
      </c>
      <c r="I18" s="72">
        <f t="shared" ref="I18:I23" si="14">60*H18/G18</f>
        <v>272.72727272727275</v>
      </c>
      <c r="J18" s="101">
        <f t="shared" ref="J18:J23" si="15">I18/100*A18/100*0.8</f>
        <v>0</v>
      </c>
      <c r="K18" s="340">
        <f t="shared" ref="K18:K23" si="16">J18/E18</f>
        <v>0</v>
      </c>
      <c r="L18" s="41"/>
      <c r="M18" s="341"/>
      <c r="N18" s="73"/>
      <c r="O18" s="43"/>
      <c r="P18" s="43"/>
      <c r="Q18" s="69"/>
      <c r="R18" s="70"/>
      <c r="S18" s="70"/>
    </row>
    <row r="19" spans="1:27" x14ac:dyDescent="0.25">
      <c r="A19" s="74">
        <f t="shared" si="9"/>
        <v>100</v>
      </c>
      <c r="B19" s="74">
        <f t="shared" si="10"/>
        <v>136</v>
      </c>
      <c r="C19" s="43">
        <v>290</v>
      </c>
      <c r="D19" s="43">
        <f t="shared" si="11"/>
        <v>1</v>
      </c>
      <c r="E19" s="343">
        <f t="shared" si="12"/>
        <v>17.399999999999999</v>
      </c>
      <c r="F19" s="100">
        <f t="shared" si="13"/>
        <v>17.04</v>
      </c>
      <c r="G19" s="24">
        <v>111</v>
      </c>
      <c r="H19" s="24">
        <v>500</v>
      </c>
      <c r="I19" s="72">
        <f t="shared" si="14"/>
        <v>270.27027027027026</v>
      </c>
      <c r="J19" s="101">
        <f t="shared" si="15"/>
        <v>2.1621621621621623</v>
      </c>
      <c r="K19" s="340">
        <f t="shared" si="16"/>
        <v>0.12426219322771048</v>
      </c>
      <c r="L19" s="41"/>
      <c r="M19" s="341">
        <f t="shared" ref="M19:M24" si="17">I19/$I$19</f>
        <v>1</v>
      </c>
      <c r="N19" s="73"/>
      <c r="O19" s="43"/>
      <c r="P19" s="43"/>
      <c r="Z19" s="40">
        <v>100</v>
      </c>
      <c r="AA19" s="40">
        <f>Z19/400*600</f>
        <v>150</v>
      </c>
    </row>
    <row r="20" spans="1:27" x14ac:dyDescent="0.25">
      <c r="A20" s="74">
        <f t="shared" si="9"/>
        <v>250</v>
      </c>
      <c r="B20" s="74">
        <f t="shared" si="10"/>
        <v>136</v>
      </c>
      <c r="C20" s="43">
        <v>381</v>
      </c>
      <c r="D20" s="43">
        <f t="shared" si="11"/>
        <v>1</v>
      </c>
      <c r="E20" s="343">
        <f t="shared" si="12"/>
        <v>22.86</v>
      </c>
      <c r="F20" s="100">
        <f t="shared" si="13"/>
        <v>22.5</v>
      </c>
      <c r="G20" s="24">
        <v>111</v>
      </c>
      <c r="H20" s="24">
        <v>500</v>
      </c>
      <c r="I20" s="72">
        <f t="shared" si="14"/>
        <v>270.27027027027026</v>
      </c>
      <c r="J20" s="101">
        <f t="shared" si="15"/>
        <v>5.4054054054054053</v>
      </c>
      <c r="K20" s="340">
        <f t="shared" si="16"/>
        <v>0.23645692937031521</v>
      </c>
      <c r="L20" s="41"/>
      <c r="M20" s="341">
        <f t="shared" si="17"/>
        <v>1</v>
      </c>
      <c r="N20" s="73"/>
      <c r="O20" s="43"/>
      <c r="P20" s="43"/>
      <c r="Z20" s="40">
        <v>200</v>
      </c>
      <c r="AA20" s="40">
        <f>Z20/400*600</f>
        <v>300</v>
      </c>
    </row>
    <row r="21" spans="1:27" x14ac:dyDescent="0.25">
      <c r="A21" s="74">
        <f t="shared" si="9"/>
        <v>500</v>
      </c>
      <c r="B21" s="74">
        <f t="shared" si="10"/>
        <v>136</v>
      </c>
      <c r="C21" s="43">
        <v>479</v>
      </c>
      <c r="D21" s="43">
        <f t="shared" si="11"/>
        <v>1</v>
      </c>
      <c r="E21" s="343">
        <f t="shared" si="12"/>
        <v>28.74</v>
      </c>
      <c r="F21" s="100">
        <f t="shared" si="13"/>
        <v>28.38</v>
      </c>
      <c r="G21" s="24">
        <v>112</v>
      </c>
      <c r="H21" s="24">
        <v>500</v>
      </c>
      <c r="I21" s="72">
        <f t="shared" si="14"/>
        <v>267.85714285714283</v>
      </c>
      <c r="J21" s="101">
        <f t="shared" si="15"/>
        <v>10.714285714285715</v>
      </c>
      <c r="K21" s="340">
        <f t="shared" si="16"/>
        <v>0.37280047718461085</v>
      </c>
      <c r="L21" s="41"/>
      <c r="M21" s="341">
        <f t="shared" si="17"/>
        <v>0.99107142857142849</v>
      </c>
      <c r="N21" s="73"/>
      <c r="O21" s="43"/>
      <c r="P21" s="43"/>
      <c r="Z21" s="40">
        <v>300</v>
      </c>
      <c r="AA21" s="40">
        <f>Z21/400*600</f>
        <v>450</v>
      </c>
    </row>
    <row r="22" spans="1:27" x14ac:dyDescent="0.25">
      <c r="A22" s="74">
        <f t="shared" si="9"/>
        <v>750</v>
      </c>
      <c r="B22" s="74">
        <f t="shared" si="10"/>
        <v>136</v>
      </c>
      <c r="C22" s="43">
        <v>593</v>
      </c>
      <c r="D22" s="43">
        <f t="shared" si="11"/>
        <v>1</v>
      </c>
      <c r="E22" s="343">
        <f t="shared" si="12"/>
        <v>35.58</v>
      </c>
      <c r="F22" s="100">
        <f t="shared" si="13"/>
        <v>35.22</v>
      </c>
      <c r="G22" s="24">
        <v>113</v>
      </c>
      <c r="H22" s="24">
        <v>500</v>
      </c>
      <c r="I22" s="72">
        <f t="shared" si="14"/>
        <v>265.48672566371681</v>
      </c>
      <c r="J22" s="101">
        <f t="shared" si="15"/>
        <v>15.929203539823011</v>
      </c>
      <c r="K22" s="340">
        <f t="shared" si="16"/>
        <v>0.44770105508215319</v>
      </c>
      <c r="L22" s="41"/>
      <c r="M22" s="341">
        <f t="shared" si="17"/>
        <v>0.98230088495575218</v>
      </c>
      <c r="N22" s="73"/>
      <c r="O22" s="43"/>
      <c r="P22" s="43"/>
      <c r="Z22" s="40">
        <v>400</v>
      </c>
      <c r="AA22" s="40">
        <f>Z22/400*600</f>
        <v>600</v>
      </c>
    </row>
    <row r="23" spans="1:27" x14ac:dyDescent="0.25">
      <c r="A23" s="74">
        <f t="shared" si="9"/>
        <v>1000</v>
      </c>
      <c r="B23" s="74">
        <f t="shared" si="10"/>
        <v>136</v>
      </c>
      <c r="C23" s="43">
        <v>767</v>
      </c>
      <c r="D23" s="43">
        <f t="shared" si="11"/>
        <v>1</v>
      </c>
      <c r="E23" s="343">
        <f t="shared" si="12"/>
        <v>46.02</v>
      </c>
      <c r="F23" s="100">
        <f t="shared" si="13"/>
        <v>45.660000000000004</v>
      </c>
      <c r="G23" s="24">
        <v>114</v>
      </c>
      <c r="H23" s="24">
        <v>500</v>
      </c>
      <c r="I23" s="72">
        <f t="shared" si="14"/>
        <v>263.15789473684208</v>
      </c>
      <c r="J23" s="101">
        <f t="shared" si="15"/>
        <v>21.05263157894737</v>
      </c>
      <c r="K23" s="340">
        <f t="shared" si="16"/>
        <v>0.45746700519225053</v>
      </c>
      <c r="L23" s="41"/>
      <c r="M23" s="341">
        <f t="shared" si="17"/>
        <v>0.97368421052631571</v>
      </c>
      <c r="N23" s="73"/>
      <c r="O23" s="43"/>
      <c r="P23" s="43"/>
    </row>
    <row r="24" spans="1:27" x14ac:dyDescent="0.25">
      <c r="A24" s="128"/>
      <c r="B24" s="128"/>
      <c r="C24" s="43"/>
      <c r="D24" s="43"/>
      <c r="E24" s="343"/>
      <c r="F24" s="100"/>
      <c r="G24" s="24"/>
      <c r="H24" s="24"/>
      <c r="I24" s="72"/>
      <c r="J24" s="101"/>
      <c r="K24" s="41"/>
      <c r="L24" s="41"/>
      <c r="M24" s="341">
        <f t="shared" si="17"/>
        <v>0</v>
      </c>
      <c r="N24" s="73"/>
      <c r="O24" s="43"/>
      <c r="P24" s="43"/>
    </row>
    <row r="25" spans="1:27" x14ac:dyDescent="0.25">
      <c r="A25" s="128">
        <f t="shared" ref="A25:A30" si="18">Q3</f>
        <v>0</v>
      </c>
      <c r="B25" s="128">
        <f t="shared" ref="B25:B30" si="19">P$5</f>
        <v>252</v>
      </c>
      <c r="C25" s="43">
        <v>327</v>
      </c>
      <c r="D25" s="43">
        <f t="shared" ref="D25:D30" si="20">60/60</f>
        <v>1</v>
      </c>
      <c r="E25" s="343">
        <f t="shared" ref="E25:E30" si="21">60/D25*C25/1000</f>
        <v>19.62</v>
      </c>
      <c r="F25" s="100">
        <f t="shared" ref="F25:F30" si="22">E25-$J$7</f>
        <v>19.260000000000002</v>
      </c>
      <c r="G25" s="24">
        <v>71</v>
      </c>
      <c r="H25" s="24">
        <v>600</v>
      </c>
      <c r="I25" s="72">
        <f t="shared" ref="I25:I30" si="23">60*H25/G25</f>
        <v>507.04225352112678</v>
      </c>
      <c r="J25" s="101">
        <f t="shared" ref="J25:J30" si="24">I25/100*A25/100*0.8</f>
        <v>0</v>
      </c>
      <c r="K25" s="340">
        <f t="shared" ref="K25:K30" si="25">J25/E25</f>
        <v>0</v>
      </c>
      <c r="L25" s="41"/>
      <c r="M25" s="341"/>
      <c r="N25" s="73"/>
      <c r="O25" s="43"/>
      <c r="P25" s="43"/>
      <c r="Q25" s="69"/>
      <c r="R25" s="70"/>
      <c r="S25" s="70"/>
    </row>
    <row r="26" spans="1:27" x14ac:dyDescent="0.25">
      <c r="A26" s="128">
        <f t="shared" si="18"/>
        <v>100</v>
      </c>
      <c r="B26" s="128">
        <f t="shared" si="19"/>
        <v>252</v>
      </c>
      <c r="C26" s="43">
        <v>547</v>
      </c>
      <c r="D26" s="43">
        <f t="shared" si="20"/>
        <v>1</v>
      </c>
      <c r="E26" s="343">
        <f t="shared" si="21"/>
        <v>32.82</v>
      </c>
      <c r="F26" s="100">
        <f t="shared" si="22"/>
        <v>32.46</v>
      </c>
      <c r="G26" s="24">
        <v>72</v>
      </c>
      <c r="H26" s="24">
        <v>600</v>
      </c>
      <c r="I26" s="72">
        <f t="shared" si="23"/>
        <v>500</v>
      </c>
      <c r="J26" s="101">
        <f t="shared" si="24"/>
        <v>4</v>
      </c>
      <c r="K26" s="340">
        <f t="shared" si="25"/>
        <v>0.12187690432663011</v>
      </c>
      <c r="L26" s="41"/>
      <c r="M26" s="341">
        <f>I26/$I$26</f>
        <v>1</v>
      </c>
      <c r="N26" s="73"/>
      <c r="O26" s="43"/>
      <c r="P26" s="43"/>
      <c r="Z26" s="40">
        <v>100</v>
      </c>
      <c r="AA26" s="40">
        <f>Z26/400*600</f>
        <v>150</v>
      </c>
    </row>
    <row r="27" spans="1:27" x14ac:dyDescent="0.25">
      <c r="A27" s="128">
        <f t="shared" si="18"/>
        <v>250</v>
      </c>
      <c r="B27" s="128">
        <f t="shared" si="19"/>
        <v>252</v>
      </c>
      <c r="C27" s="43">
        <v>653</v>
      </c>
      <c r="D27" s="43">
        <f t="shared" si="20"/>
        <v>1</v>
      </c>
      <c r="E27" s="343">
        <f t="shared" si="21"/>
        <v>39.18</v>
      </c>
      <c r="F27" s="100">
        <f t="shared" si="22"/>
        <v>38.82</v>
      </c>
      <c r="G27" s="24">
        <v>60</v>
      </c>
      <c r="H27" s="24">
        <v>500</v>
      </c>
      <c r="I27" s="72">
        <f t="shared" si="23"/>
        <v>500</v>
      </c>
      <c r="J27" s="101">
        <f t="shared" si="24"/>
        <v>10</v>
      </c>
      <c r="K27" s="340">
        <f t="shared" si="25"/>
        <v>0.25523226135783561</v>
      </c>
      <c r="L27" s="41"/>
      <c r="M27" s="341">
        <f>I27/$I$26</f>
        <v>1</v>
      </c>
      <c r="N27" s="73"/>
      <c r="O27" s="43"/>
      <c r="P27" s="43"/>
      <c r="Z27" s="40">
        <v>200</v>
      </c>
      <c r="AA27" s="40">
        <f>Z27/400*600</f>
        <v>300</v>
      </c>
    </row>
    <row r="28" spans="1:27" x14ac:dyDescent="0.25">
      <c r="A28" s="128">
        <f t="shared" si="18"/>
        <v>500</v>
      </c>
      <c r="B28" s="128">
        <f t="shared" si="19"/>
        <v>252</v>
      </c>
      <c r="C28" s="43">
        <v>784</v>
      </c>
      <c r="D28" s="43">
        <f t="shared" si="20"/>
        <v>1</v>
      </c>
      <c r="E28" s="343">
        <f t="shared" si="21"/>
        <v>47.04</v>
      </c>
      <c r="F28" s="100">
        <f t="shared" si="22"/>
        <v>46.68</v>
      </c>
      <c r="G28" s="24">
        <v>60</v>
      </c>
      <c r="H28" s="24">
        <v>500</v>
      </c>
      <c r="I28" s="72">
        <f t="shared" si="23"/>
        <v>500</v>
      </c>
      <c r="J28" s="101">
        <f t="shared" si="24"/>
        <v>20</v>
      </c>
      <c r="K28" s="340">
        <f t="shared" si="25"/>
        <v>0.42517006802721091</v>
      </c>
      <c r="L28" s="41"/>
      <c r="M28" s="341">
        <f>I28/$I$26</f>
        <v>1</v>
      </c>
      <c r="N28" s="73"/>
      <c r="O28" s="43"/>
      <c r="P28" s="43"/>
      <c r="Z28" s="40">
        <v>300</v>
      </c>
      <c r="AA28" s="40">
        <f>Z28/400*600</f>
        <v>450</v>
      </c>
    </row>
    <row r="29" spans="1:27" x14ac:dyDescent="0.25">
      <c r="A29" s="128">
        <f t="shared" si="18"/>
        <v>750</v>
      </c>
      <c r="B29" s="128">
        <f t="shared" si="19"/>
        <v>252</v>
      </c>
      <c r="C29" s="43">
        <v>1016</v>
      </c>
      <c r="D29" s="43">
        <f t="shared" si="20"/>
        <v>1</v>
      </c>
      <c r="E29" s="343">
        <f t="shared" si="21"/>
        <v>60.96</v>
      </c>
      <c r="F29" s="100">
        <f t="shared" si="22"/>
        <v>60.6</v>
      </c>
      <c r="G29" s="24">
        <v>73</v>
      </c>
      <c r="H29" s="24">
        <v>600</v>
      </c>
      <c r="I29" s="72">
        <f t="shared" si="23"/>
        <v>493.15068493150687</v>
      </c>
      <c r="J29" s="101">
        <f t="shared" si="24"/>
        <v>29.589041095890412</v>
      </c>
      <c r="K29" s="340">
        <f t="shared" si="25"/>
        <v>0.48538453241290047</v>
      </c>
      <c r="L29" s="41"/>
      <c r="M29" s="341">
        <f>I29/$I$26</f>
        <v>0.98630136986301375</v>
      </c>
      <c r="N29" s="73"/>
      <c r="O29" s="43"/>
      <c r="P29" s="43"/>
      <c r="Z29" s="40">
        <v>400</v>
      </c>
      <c r="AA29" s="40">
        <f>Z29/400*600</f>
        <v>600</v>
      </c>
    </row>
    <row r="30" spans="1:27" x14ac:dyDescent="0.25">
      <c r="A30" s="128">
        <f t="shared" si="18"/>
        <v>1000</v>
      </c>
      <c r="B30" s="128">
        <f t="shared" si="19"/>
        <v>252</v>
      </c>
      <c r="C30" s="43">
        <v>1241</v>
      </c>
      <c r="D30" s="43">
        <f t="shared" si="20"/>
        <v>1</v>
      </c>
      <c r="E30" s="343">
        <f t="shared" si="21"/>
        <v>74.459999999999994</v>
      </c>
      <c r="F30" s="100">
        <f t="shared" si="22"/>
        <v>74.099999999999994</v>
      </c>
      <c r="G30" s="24">
        <v>61</v>
      </c>
      <c r="H30" s="24">
        <v>500</v>
      </c>
      <c r="I30" s="72">
        <f t="shared" si="23"/>
        <v>491.80327868852459</v>
      </c>
      <c r="J30" s="101">
        <f t="shared" si="24"/>
        <v>39.344262295081975</v>
      </c>
      <c r="K30" s="340">
        <f t="shared" si="25"/>
        <v>0.52839460509108216</v>
      </c>
      <c r="L30" s="41"/>
      <c r="M30" s="341">
        <f>I30/$I$26</f>
        <v>0.98360655737704916</v>
      </c>
      <c r="N30" s="73"/>
      <c r="O30" s="43"/>
      <c r="P30" s="43"/>
    </row>
    <row r="31" spans="1:27" x14ac:dyDescent="0.25">
      <c r="A31" s="74"/>
      <c r="B31" s="128"/>
      <c r="C31" s="43"/>
      <c r="D31" s="43"/>
      <c r="E31" s="343"/>
      <c r="F31" s="100"/>
      <c r="G31" s="24"/>
      <c r="H31" s="24"/>
      <c r="I31" s="72"/>
      <c r="J31" s="101"/>
      <c r="K31" s="41"/>
      <c r="L31" s="41"/>
      <c r="M31" s="341"/>
      <c r="N31" s="73"/>
      <c r="O31" s="43"/>
      <c r="P31" s="43"/>
    </row>
    <row r="32" spans="1:27" x14ac:dyDescent="0.25">
      <c r="A32" s="128">
        <f t="shared" ref="A32:A37" si="26">Q3</f>
        <v>0</v>
      </c>
      <c r="B32" s="128">
        <f t="shared" ref="B32:B37" si="27">P$6</f>
        <v>368</v>
      </c>
      <c r="C32" s="43">
        <v>440</v>
      </c>
      <c r="D32" s="43">
        <f t="shared" ref="D32:D37" si="28">60/60</f>
        <v>1</v>
      </c>
      <c r="E32" s="343">
        <f t="shared" ref="E32:E37" si="29">60/D32*C32/1000</f>
        <v>26.4</v>
      </c>
      <c r="F32" s="100">
        <f t="shared" ref="F32:F37" si="30">E32-$J$7</f>
        <v>26.04</v>
      </c>
      <c r="G32" s="24">
        <v>64</v>
      </c>
      <c r="H32" s="24">
        <v>800</v>
      </c>
      <c r="I32" s="72">
        <f t="shared" ref="I32:I37" si="31">60*H32/G32</f>
        <v>750</v>
      </c>
      <c r="J32" s="101">
        <f t="shared" ref="J32:J37" si="32">I32/100*A32/100*0.8</f>
        <v>0</v>
      </c>
      <c r="K32" s="340">
        <f t="shared" ref="K32:K37" si="33">J32/E32</f>
        <v>0</v>
      </c>
      <c r="L32" s="41"/>
      <c r="M32" s="341"/>
      <c r="N32" s="73"/>
      <c r="O32" s="43"/>
      <c r="P32" s="43"/>
      <c r="Q32" s="69"/>
      <c r="R32" s="70"/>
      <c r="S32" s="70"/>
    </row>
    <row r="33" spans="1:27" x14ac:dyDescent="0.25">
      <c r="A33" s="128">
        <f t="shared" si="26"/>
        <v>100</v>
      </c>
      <c r="B33" s="128">
        <f t="shared" si="27"/>
        <v>368</v>
      </c>
      <c r="C33" s="43">
        <v>694</v>
      </c>
      <c r="D33" s="43">
        <f t="shared" si="28"/>
        <v>1</v>
      </c>
      <c r="E33" s="343">
        <f t="shared" si="29"/>
        <v>41.64</v>
      </c>
      <c r="F33" s="100">
        <f t="shared" si="30"/>
        <v>41.28</v>
      </c>
      <c r="G33" s="24">
        <v>64</v>
      </c>
      <c r="H33" s="24">
        <v>800</v>
      </c>
      <c r="I33" s="72">
        <f t="shared" si="31"/>
        <v>750</v>
      </c>
      <c r="J33" s="101">
        <f t="shared" si="32"/>
        <v>6</v>
      </c>
      <c r="K33" s="340">
        <f t="shared" si="33"/>
        <v>0.14409221902017291</v>
      </c>
      <c r="L33" s="41"/>
      <c r="M33" s="341">
        <f>I33/$I$33</f>
        <v>1</v>
      </c>
      <c r="N33" s="73"/>
      <c r="O33" s="43"/>
      <c r="P33" s="43"/>
      <c r="Z33" s="40">
        <v>100</v>
      </c>
      <c r="AA33" s="40">
        <f>Z33/400*600</f>
        <v>150</v>
      </c>
    </row>
    <row r="34" spans="1:27" x14ac:dyDescent="0.25">
      <c r="A34" s="128">
        <f t="shared" si="26"/>
        <v>250</v>
      </c>
      <c r="B34" s="128">
        <f t="shared" si="27"/>
        <v>368</v>
      </c>
      <c r="C34" s="43">
        <v>873</v>
      </c>
      <c r="D34" s="43">
        <f t="shared" si="28"/>
        <v>1</v>
      </c>
      <c r="E34" s="343">
        <f t="shared" si="29"/>
        <v>52.38</v>
      </c>
      <c r="F34" s="100">
        <f t="shared" si="30"/>
        <v>52.02</v>
      </c>
      <c r="G34" s="24">
        <v>65</v>
      </c>
      <c r="H34" s="24">
        <v>800</v>
      </c>
      <c r="I34" s="72">
        <f t="shared" si="31"/>
        <v>738.46153846153845</v>
      </c>
      <c r="J34" s="101">
        <f t="shared" si="32"/>
        <v>14.769230769230768</v>
      </c>
      <c r="K34" s="340">
        <f t="shared" si="33"/>
        <v>0.28196316856110665</v>
      </c>
      <c r="L34" s="41"/>
      <c r="M34" s="341">
        <f>I34/$I$33</f>
        <v>0.98461538461538456</v>
      </c>
      <c r="N34" s="73"/>
      <c r="O34" s="43"/>
      <c r="P34" s="43"/>
      <c r="Z34" s="40">
        <v>200</v>
      </c>
      <c r="AA34" s="40">
        <f>Z34/400*600</f>
        <v>300</v>
      </c>
    </row>
    <row r="35" spans="1:27" x14ac:dyDescent="0.25">
      <c r="A35" s="128">
        <f t="shared" si="26"/>
        <v>500</v>
      </c>
      <c r="B35" s="128">
        <f t="shared" si="27"/>
        <v>368</v>
      </c>
      <c r="C35" s="43">
        <v>1082</v>
      </c>
      <c r="D35" s="43">
        <f t="shared" si="28"/>
        <v>1</v>
      </c>
      <c r="E35" s="343">
        <f t="shared" si="29"/>
        <v>64.92</v>
      </c>
      <c r="F35" s="100">
        <f t="shared" si="30"/>
        <v>64.56</v>
      </c>
      <c r="G35" s="24">
        <v>66</v>
      </c>
      <c r="H35" s="24">
        <v>800</v>
      </c>
      <c r="I35" s="72">
        <f t="shared" si="31"/>
        <v>727.27272727272725</v>
      </c>
      <c r="J35" s="101">
        <f t="shared" si="32"/>
        <v>29.09090909090909</v>
      </c>
      <c r="K35" s="340">
        <f t="shared" si="33"/>
        <v>0.44810396011874754</v>
      </c>
      <c r="L35" s="41"/>
      <c r="M35" s="341">
        <f>I35/$I$33</f>
        <v>0.96969696969696972</v>
      </c>
      <c r="N35" s="73"/>
      <c r="O35" s="43"/>
      <c r="P35" s="43"/>
      <c r="Z35" s="40">
        <v>300</v>
      </c>
      <c r="AA35" s="40">
        <f>Z35/400*600</f>
        <v>450</v>
      </c>
    </row>
    <row r="36" spans="1:27" x14ac:dyDescent="0.25">
      <c r="A36" s="128">
        <f t="shared" si="26"/>
        <v>750</v>
      </c>
      <c r="B36" s="128">
        <f t="shared" si="27"/>
        <v>368</v>
      </c>
      <c r="C36" s="43">
        <v>1346</v>
      </c>
      <c r="D36" s="43">
        <f t="shared" si="28"/>
        <v>1</v>
      </c>
      <c r="E36" s="343">
        <f t="shared" si="29"/>
        <v>80.760000000000005</v>
      </c>
      <c r="F36" s="100">
        <f t="shared" si="30"/>
        <v>80.400000000000006</v>
      </c>
      <c r="G36" s="24">
        <v>67</v>
      </c>
      <c r="H36" s="24">
        <v>800</v>
      </c>
      <c r="I36" s="72">
        <f t="shared" si="31"/>
        <v>716.41791044776119</v>
      </c>
      <c r="J36" s="101">
        <f t="shared" si="32"/>
        <v>42.985074626865675</v>
      </c>
      <c r="K36" s="340">
        <f t="shared" si="33"/>
        <v>0.53225699141735605</v>
      </c>
      <c r="L36" s="41"/>
      <c r="M36" s="341">
        <f>I36/$I$33</f>
        <v>0.95522388059701491</v>
      </c>
      <c r="N36" s="73"/>
      <c r="O36" s="43"/>
      <c r="P36" s="43"/>
      <c r="Z36" s="40">
        <v>400</v>
      </c>
      <c r="AA36" s="40">
        <f>Z36/400*600</f>
        <v>600</v>
      </c>
    </row>
    <row r="37" spans="1:27" x14ac:dyDescent="0.25">
      <c r="A37" s="128">
        <f t="shared" si="26"/>
        <v>1000</v>
      </c>
      <c r="B37" s="128">
        <f t="shared" si="27"/>
        <v>368</v>
      </c>
      <c r="C37" s="43">
        <v>1745</v>
      </c>
      <c r="D37" s="43">
        <f t="shared" si="28"/>
        <v>1</v>
      </c>
      <c r="E37" s="343">
        <f t="shared" si="29"/>
        <v>104.7</v>
      </c>
      <c r="F37" s="100">
        <f t="shared" si="30"/>
        <v>104.34</v>
      </c>
      <c r="G37" s="24">
        <v>68</v>
      </c>
      <c r="H37" s="24">
        <v>800</v>
      </c>
      <c r="I37" s="72">
        <f t="shared" si="31"/>
        <v>705.88235294117646</v>
      </c>
      <c r="J37" s="101">
        <f t="shared" si="32"/>
        <v>56.470588235294123</v>
      </c>
      <c r="K37" s="340">
        <f t="shared" si="33"/>
        <v>0.53935614360357331</v>
      </c>
      <c r="L37" s="41"/>
      <c r="M37" s="341">
        <f>I37/$I$33</f>
        <v>0.94117647058823528</v>
      </c>
      <c r="N37" s="73"/>
      <c r="O37" s="43"/>
      <c r="P37" s="43"/>
    </row>
    <row r="38" spans="1:27" x14ac:dyDescent="0.25">
      <c r="A38" s="128"/>
      <c r="B38" s="128"/>
      <c r="C38" s="43"/>
      <c r="D38" s="43"/>
      <c r="E38" s="343"/>
      <c r="F38" s="100"/>
      <c r="G38" s="24"/>
      <c r="H38" s="24"/>
      <c r="I38" s="72"/>
      <c r="J38" s="101"/>
      <c r="K38" s="41"/>
      <c r="L38" s="41"/>
      <c r="M38" s="341"/>
      <c r="N38" s="73"/>
      <c r="O38" s="43"/>
      <c r="P38" s="43"/>
    </row>
    <row r="39" spans="1:27" x14ac:dyDescent="0.25">
      <c r="A39" s="128">
        <f t="shared" ref="A39:A44" si="34">Q3</f>
        <v>0</v>
      </c>
      <c r="B39" s="128">
        <f t="shared" ref="B39:B44" si="35">P$7</f>
        <v>484</v>
      </c>
      <c r="C39" s="43">
        <v>950</v>
      </c>
      <c r="D39" s="112">
        <f>93/60</f>
        <v>1.55</v>
      </c>
      <c r="E39" s="343">
        <f t="shared" ref="E39:E44" si="36">60/D39*C39/1000</f>
        <v>36.774193548387096</v>
      </c>
      <c r="F39" s="100">
        <f t="shared" ref="F39:F44" si="37">E39-$J$7</f>
        <v>36.414193548387097</v>
      </c>
      <c r="G39" s="24">
        <v>62</v>
      </c>
      <c r="H39" s="24">
        <v>1000</v>
      </c>
      <c r="I39" s="72">
        <f t="shared" ref="I39:I44" si="38">60*H39/G39</f>
        <v>967.74193548387098</v>
      </c>
      <c r="J39" s="101">
        <f t="shared" ref="J39:J44" si="39">I39/100*A39/100*0.8</f>
        <v>0</v>
      </c>
      <c r="K39" s="340">
        <f t="shared" ref="K39:K44" si="40">J39/E39</f>
        <v>0</v>
      </c>
      <c r="L39" s="41"/>
      <c r="M39" s="341"/>
      <c r="N39" s="73"/>
      <c r="O39" s="43"/>
      <c r="P39" s="43"/>
      <c r="Q39" s="69"/>
      <c r="R39" s="70"/>
      <c r="S39" s="70"/>
    </row>
    <row r="40" spans="1:27" x14ac:dyDescent="0.25">
      <c r="A40" s="128">
        <f t="shared" si="34"/>
        <v>100</v>
      </c>
      <c r="B40" s="128">
        <f t="shared" si="35"/>
        <v>484</v>
      </c>
      <c r="C40" s="43">
        <v>1352</v>
      </c>
      <c r="D40" s="112">
        <f>83/60</f>
        <v>1.3833333333333333</v>
      </c>
      <c r="E40" s="343">
        <f t="shared" si="36"/>
        <v>58.640963855421688</v>
      </c>
      <c r="F40" s="100">
        <f t="shared" si="37"/>
        <v>58.280963855421689</v>
      </c>
      <c r="G40" s="24">
        <v>62</v>
      </c>
      <c r="H40" s="24">
        <v>1000</v>
      </c>
      <c r="I40" s="72">
        <f t="shared" si="38"/>
        <v>967.74193548387098</v>
      </c>
      <c r="J40" s="101">
        <f t="shared" si="39"/>
        <v>7.741935483870968</v>
      </c>
      <c r="K40" s="340">
        <f t="shared" si="40"/>
        <v>0.13202265063307247</v>
      </c>
      <c r="L40" s="41"/>
      <c r="M40" s="341">
        <f>I40/$I$40</f>
        <v>1</v>
      </c>
      <c r="N40" s="73"/>
      <c r="O40" s="43"/>
      <c r="P40" s="43"/>
      <c r="Z40" s="40">
        <v>100</v>
      </c>
      <c r="AA40" s="40">
        <f>Z40/400*600</f>
        <v>150</v>
      </c>
    </row>
    <row r="41" spans="1:27" x14ac:dyDescent="0.25">
      <c r="A41" s="128">
        <f t="shared" si="34"/>
        <v>250</v>
      </c>
      <c r="B41" s="128">
        <f t="shared" si="35"/>
        <v>484</v>
      </c>
      <c r="C41" s="43">
        <v>1173</v>
      </c>
      <c r="D41" s="112">
        <f>60/60</f>
        <v>1</v>
      </c>
      <c r="E41" s="343">
        <f t="shared" si="36"/>
        <v>70.38</v>
      </c>
      <c r="F41" s="100">
        <f t="shared" si="37"/>
        <v>70.02</v>
      </c>
      <c r="G41" s="24">
        <v>69</v>
      </c>
      <c r="H41" s="24">
        <v>1000</v>
      </c>
      <c r="I41" s="72">
        <f t="shared" si="38"/>
        <v>869.56521739130437</v>
      </c>
      <c r="J41" s="101">
        <f t="shared" si="39"/>
        <v>17.391304347826086</v>
      </c>
      <c r="K41" s="340">
        <f t="shared" si="40"/>
        <v>0.24710577362640079</v>
      </c>
      <c r="L41" s="41"/>
      <c r="M41" s="341">
        <f>I41/$I$40</f>
        <v>0.89855072463768115</v>
      </c>
      <c r="N41" s="73"/>
      <c r="O41" s="43"/>
      <c r="P41" s="43"/>
      <c r="Z41" s="40">
        <v>200</v>
      </c>
      <c r="AA41" s="40">
        <f>Z41/400*600</f>
        <v>300</v>
      </c>
    </row>
    <row r="42" spans="1:27" x14ac:dyDescent="0.25">
      <c r="A42" s="128">
        <f t="shared" si="34"/>
        <v>500</v>
      </c>
      <c r="B42" s="128">
        <f t="shared" si="35"/>
        <v>484</v>
      </c>
      <c r="C42" s="43">
        <v>1405</v>
      </c>
      <c r="D42" s="112">
        <f>60/60</f>
        <v>1</v>
      </c>
      <c r="E42" s="343">
        <f t="shared" si="36"/>
        <v>84.3</v>
      </c>
      <c r="F42" s="100">
        <f t="shared" si="37"/>
        <v>83.94</v>
      </c>
      <c r="G42" s="24">
        <v>69</v>
      </c>
      <c r="H42" s="24">
        <v>1000</v>
      </c>
      <c r="I42" s="72">
        <f t="shared" si="38"/>
        <v>869.56521739130437</v>
      </c>
      <c r="J42" s="101">
        <f t="shared" si="39"/>
        <v>34.782608695652172</v>
      </c>
      <c r="K42" s="340">
        <f t="shared" si="40"/>
        <v>0.41260508535767704</v>
      </c>
      <c r="L42" s="41"/>
      <c r="M42" s="341">
        <f>I42/$I$40</f>
        <v>0.89855072463768115</v>
      </c>
      <c r="N42" s="73"/>
      <c r="O42" s="43"/>
      <c r="P42" s="43"/>
      <c r="Z42" s="40">
        <v>300</v>
      </c>
      <c r="AA42" s="40">
        <f>Z42/400*600</f>
        <v>450</v>
      </c>
    </row>
    <row r="43" spans="1:27" x14ac:dyDescent="0.25">
      <c r="A43" s="128">
        <f t="shared" si="34"/>
        <v>750</v>
      </c>
      <c r="B43" s="128">
        <f t="shared" si="35"/>
        <v>484</v>
      </c>
      <c r="C43" s="43">
        <v>1692</v>
      </c>
      <c r="D43" s="112">
        <f>60/60</f>
        <v>1</v>
      </c>
      <c r="E43" s="343">
        <f t="shared" si="36"/>
        <v>101.52</v>
      </c>
      <c r="F43" s="100">
        <f t="shared" si="37"/>
        <v>101.16</v>
      </c>
      <c r="G43" s="24">
        <v>70</v>
      </c>
      <c r="H43" s="24">
        <v>1000</v>
      </c>
      <c r="I43" s="72">
        <f t="shared" si="38"/>
        <v>857.14285714285711</v>
      </c>
      <c r="J43" s="101">
        <f t="shared" si="39"/>
        <v>51.428571428571423</v>
      </c>
      <c r="K43" s="340">
        <f t="shared" si="40"/>
        <v>0.50658561296859161</v>
      </c>
      <c r="L43" s="41"/>
      <c r="M43" s="341">
        <f>I43/$I$40</f>
        <v>0.88571428571428568</v>
      </c>
      <c r="N43" s="73"/>
      <c r="O43" s="43"/>
      <c r="P43" s="43"/>
      <c r="Z43" s="40">
        <v>400</v>
      </c>
      <c r="AA43" s="40">
        <f>Z43/400*600</f>
        <v>600</v>
      </c>
    </row>
    <row r="44" spans="1:27" x14ac:dyDescent="0.25">
      <c r="A44" s="128">
        <f t="shared" si="34"/>
        <v>1000</v>
      </c>
      <c r="B44" s="128">
        <f t="shared" si="35"/>
        <v>484</v>
      </c>
      <c r="C44" s="43">
        <v>2174</v>
      </c>
      <c r="D44" s="112">
        <f>60/60</f>
        <v>1</v>
      </c>
      <c r="E44" s="343">
        <f t="shared" si="36"/>
        <v>130.44</v>
      </c>
      <c r="F44" s="100">
        <f t="shared" si="37"/>
        <v>130.07999999999998</v>
      </c>
      <c r="G44" s="24">
        <v>65</v>
      </c>
      <c r="H44" s="24">
        <v>1000</v>
      </c>
      <c r="I44" s="72">
        <f t="shared" si="38"/>
        <v>923.07692307692309</v>
      </c>
      <c r="J44" s="101">
        <f t="shared" si="39"/>
        <v>73.846153846153854</v>
      </c>
      <c r="K44" s="340">
        <f t="shared" si="40"/>
        <v>0.56613120090581004</v>
      </c>
      <c r="L44" s="41"/>
      <c r="M44" s="341">
        <f>I44/$I$40</f>
        <v>0.9538461538461539</v>
      </c>
      <c r="N44" s="73"/>
      <c r="O44" s="43"/>
      <c r="P44" s="43"/>
    </row>
    <row r="45" spans="1:27" x14ac:dyDescent="0.25">
      <c r="A45" s="74"/>
      <c r="B45" s="128"/>
      <c r="C45" s="43"/>
      <c r="D45" s="112"/>
      <c r="E45" s="343"/>
      <c r="F45" s="100"/>
      <c r="G45" s="24"/>
      <c r="H45" s="24"/>
      <c r="I45" s="72"/>
      <c r="J45" s="101"/>
      <c r="K45" s="41"/>
      <c r="L45" s="41"/>
      <c r="M45" s="341"/>
      <c r="N45" s="73"/>
      <c r="O45" s="43"/>
      <c r="P45" s="43"/>
    </row>
    <row r="46" spans="1:27" x14ac:dyDescent="0.25">
      <c r="A46" s="128">
        <f t="shared" ref="A46:A51" si="41">Q3</f>
        <v>0</v>
      </c>
      <c r="B46" s="128">
        <f t="shared" ref="B46:B51" si="42">P$8</f>
        <v>600</v>
      </c>
      <c r="C46" s="43">
        <v>1156</v>
      </c>
      <c r="D46" s="112">
        <v>1.4666666666666666</v>
      </c>
      <c r="E46" s="343">
        <f t="shared" ref="E46:E51" si="43">60/D46*C46/1000</f>
        <v>47.290909090909096</v>
      </c>
      <c r="F46" s="100">
        <f t="shared" ref="F46:F51" si="44">E46-$J$7</f>
        <v>46.930909090909097</v>
      </c>
      <c r="G46" s="24">
        <v>64</v>
      </c>
      <c r="H46" s="24">
        <v>1300</v>
      </c>
      <c r="I46" s="72">
        <f t="shared" ref="I46:I51" si="45">60*H46/G46</f>
        <v>1218.75</v>
      </c>
      <c r="J46" s="101">
        <f t="shared" ref="J46:J51" si="46">I46/100*A46/100*0.8</f>
        <v>0</v>
      </c>
      <c r="K46" s="340">
        <f t="shared" ref="K46:K51" si="47">J46/E46</f>
        <v>0</v>
      </c>
      <c r="L46" s="41"/>
      <c r="M46" s="341"/>
      <c r="N46" s="73"/>
      <c r="O46" s="43"/>
      <c r="P46" s="43"/>
      <c r="Q46" s="69"/>
      <c r="R46" s="70"/>
      <c r="S46" s="70"/>
    </row>
    <row r="47" spans="1:27" x14ac:dyDescent="0.25">
      <c r="A47" s="128">
        <f t="shared" si="41"/>
        <v>100</v>
      </c>
      <c r="B47" s="128">
        <f t="shared" si="42"/>
        <v>600</v>
      </c>
      <c r="C47" s="43">
        <v>1874</v>
      </c>
      <c r="D47" s="112">
        <v>1.5</v>
      </c>
      <c r="E47" s="343">
        <f t="shared" si="43"/>
        <v>74.959999999999994</v>
      </c>
      <c r="F47" s="100">
        <f t="shared" si="44"/>
        <v>74.599999999999994</v>
      </c>
      <c r="G47" s="24">
        <v>64</v>
      </c>
      <c r="H47" s="24">
        <v>1300</v>
      </c>
      <c r="I47" s="72">
        <f t="shared" si="45"/>
        <v>1218.75</v>
      </c>
      <c r="J47" s="101">
        <f t="shared" si="46"/>
        <v>9.75</v>
      </c>
      <c r="K47" s="340">
        <f t="shared" si="47"/>
        <v>0.13006937033084312</v>
      </c>
      <c r="L47" s="41"/>
      <c r="M47" s="341">
        <f>I47/$I$47</f>
        <v>1</v>
      </c>
      <c r="N47" s="73"/>
      <c r="O47" s="43"/>
      <c r="P47" s="43"/>
      <c r="R47" s="70"/>
      <c r="Z47" s="40">
        <v>100</v>
      </c>
      <c r="AA47" s="40">
        <f>Z47/400*600</f>
        <v>150</v>
      </c>
    </row>
    <row r="48" spans="1:27" x14ac:dyDescent="0.25">
      <c r="A48" s="128">
        <f t="shared" si="41"/>
        <v>250</v>
      </c>
      <c r="B48" s="128">
        <f t="shared" si="42"/>
        <v>600</v>
      </c>
      <c r="C48" s="43">
        <v>2596</v>
      </c>
      <c r="D48" s="112">
        <v>1.7333333333333334</v>
      </c>
      <c r="E48" s="343">
        <f t="shared" si="43"/>
        <v>89.861538461538458</v>
      </c>
      <c r="F48" s="100">
        <f t="shared" si="44"/>
        <v>89.501538461538459</v>
      </c>
      <c r="G48" s="24">
        <v>65</v>
      </c>
      <c r="H48" s="24">
        <v>1300</v>
      </c>
      <c r="I48" s="72">
        <f t="shared" si="45"/>
        <v>1200</v>
      </c>
      <c r="J48" s="101">
        <f t="shared" si="46"/>
        <v>24</v>
      </c>
      <c r="K48" s="340">
        <f t="shared" si="47"/>
        <v>0.26707755521314847</v>
      </c>
      <c r="L48" s="41"/>
      <c r="M48" s="341">
        <f>I48/$I$47</f>
        <v>0.98461538461538467</v>
      </c>
      <c r="N48" s="73"/>
      <c r="O48" s="43"/>
      <c r="P48" s="43"/>
      <c r="R48" s="70"/>
      <c r="Z48" s="40">
        <v>200</v>
      </c>
      <c r="AA48" s="40">
        <f>Z48/400*600</f>
        <v>300</v>
      </c>
    </row>
    <row r="49" spans="1:27" x14ac:dyDescent="0.25">
      <c r="A49" s="128">
        <f t="shared" si="41"/>
        <v>500</v>
      </c>
      <c r="B49" s="128">
        <f t="shared" si="42"/>
        <v>600</v>
      </c>
      <c r="C49" s="43">
        <v>4190</v>
      </c>
      <c r="D49" s="112">
        <v>2.4</v>
      </c>
      <c r="E49" s="343">
        <f t="shared" si="43"/>
        <v>104.75</v>
      </c>
      <c r="F49" s="100">
        <f t="shared" si="44"/>
        <v>104.39</v>
      </c>
      <c r="G49" s="24">
        <v>64</v>
      </c>
      <c r="H49" s="24">
        <v>1300</v>
      </c>
      <c r="I49" s="72">
        <f t="shared" si="45"/>
        <v>1218.75</v>
      </c>
      <c r="J49" s="101">
        <f t="shared" si="46"/>
        <v>48.75</v>
      </c>
      <c r="K49" s="340">
        <f t="shared" si="47"/>
        <v>0.46539379474940334</v>
      </c>
      <c r="L49" s="41"/>
      <c r="M49" s="341">
        <f>I49/$I$47</f>
        <v>1</v>
      </c>
      <c r="N49" s="73"/>
      <c r="O49" s="43"/>
      <c r="P49" s="43"/>
      <c r="R49" s="70"/>
      <c r="Z49" s="40">
        <v>300</v>
      </c>
      <c r="AA49" s="40">
        <f>Z49/400*600</f>
        <v>450</v>
      </c>
    </row>
    <row r="50" spans="1:27" x14ac:dyDescent="0.25">
      <c r="A50" s="128">
        <f t="shared" si="41"/>
        <v>750</v>
      </c>
      <c r="B50" s="128">
        <f t="shared" si="42"/>
        <v>600</v>
      </c>
      <c r="C50" s="43">
        <v>2195</v>
      </c>
      <c r="D50" s="112">
        <v>1</v>
      </c>
      <c r="E50" s="343">
        <f t="shared" si="43"/>
        <v>131.69999999999999</v>
      </c>
      <c r="F50" s="100">
        <f t="shared" si="44"/>
        <v>131.33999999999997</v>
      </c>
      <c r="G50" s="24">
        <v>61</v>
      </c>
      <c r="H50" s="24">
        <v>1200</v>
      </c>
      <c r="I50" s="72">
        <f t="shared" si="45"/>
        <v>1180.327868852459</v>
      </c>
      <c r="J50" s="101">
        <f t="shared" si="46"/>
        <v>70.819672131147541</v>
      </c>
      <c r="K50" s="340">
        <f t="shared" si="47"/>
        <v>0.53773479218790854</v>
      </c>
      <c r="L50" s="41"/>
      <c r="M50" s="341">
        <f>I50/$I$47</f>
        <v>0.96847414880201765</v>
      </c>
      <c r="N50" s="73"/>
      <c r="O50" s="43"/>
      <c r="P50" s="43"/>
      <c r="R50" s="70"/>
      <c r="Z50" s="40">
        <v>400</v>
      </c>
      <c r="AA50" s="40">
        <f>Z50/400*600</f>
        <v>600</v>
      </c>
    </row>
    <row r="51" spans="1:27" x14ac:dyDescent="0.25">
      <c r="A51" s="128">
        <f t="shared" si="41"/>
        <v>1000</v>
      </c>
      <c r="B51" s="128">
        <f t="shared" si="42"/>
        <v>600</v>
      </c>
      <c r="C51" s="43">
        <v>2788</v>
      </c>
      <c r="D51" s="112">
        <v>1</v>
      </c>
      <c r="E51" s="343">
        <f t="shared" si="43"/>
        <v>167.28</v>
      </c>
      <c r="F51" s="100">
        <f t="shared" si="44"/>
        <v>166.92</v>
      </c>
      <c r="G51" s="24">
        <v>62</v>
      </c>
      <c r="H51" s="24">
        <v>1200</v>
      </c>
      <c r="I51" s="72">
        <f t="shared" si="45"/>
        <v>1161.2903225806451</v>
      </c>
      <c r="J51" s="101">
        <f t="shared" si="46"/>
        <v>92.90322580645163</v>
      </c>
      <c r="K51" s="340">
        <f t="shared" si="47"/>
        <v>0.55537557273105953</v>
      </c>
      <c r="L51" s="41"/>
      <c r="M51" s="341">
        <f>I51/$I$47</f>
        <v>0.95285359801488834</v>
      </c>
      <c r="N51" s="73"/>
      <c r="O51" s="43"/>
      <c r="P51" s="43"/>
      <c r="R51" s="70"/>
    </row>
    <row r="52" spans="1:27" x14ac:dyDescent="0.25">
      <c r="A52" s="43"/>
      <c r="B52" s="128"/>
      <c r="C52" s="41"/>
      <c r="D52" s="41"/>
      <c r="E52" s="41"/>
      <c r="F52" s="75"/>
      <c r="G52" s="41"/>
      <c r="H52" s="43"/>
      <c r="I52" s="76"/>
      <c r="J52" s="71"/>
      <c r="K52" s="41"/>
      <c r="L52" s="41"/>
      <c r="M52" s="341"/>
      <c r="N52" s="73"/>
      <c r="O52" s="43"/>
      <c r="P52" s="43"/>
    </row>
    <row r="53" spans="1:27" x14ac:dyDescent="0.25">
      <c r="A53" s="43"/>
      <c r="B53" s="74"/>
      <c r="C53" s="41"/>
      <c r="D53" s="41"/>
      <c r="E53" s="41"/>
      <c r="F53" s="41"/>
      <c r="G53" s="41"/>
      <c r="H53" s="43"/>
      <c r="I53" s="76"/>
      <c r="J53" s="71"/>
      <c r="K53" s="41"/>
      <c r="L53" s="41"/>
      <c r="M53" s="341"/>
      <c r="N53" s="73"/>
      <c r="O53" s="43"/>
      <c r="P53" s="43"/>
    </row>
    <row r="54" spans="1:27" x14ac:dyDescent="0.25">
      <c r="A54" s="43"/>
      <c r="B54" s="128"/>
      <c r="C54" s="41"/>
      <c r="D54" s="41"/>
      <c r="E54" s="41"/>
      <c r="F54" s="41"/>
      <c r="G54" s="41"/>
      <c r="H54" s="43"/>
      <c r="I54" s="76"/>
      <c r="J54" s="71"/>
      <c r="K54" s="41"/>
      <c r="L54" s="41"/>
      <c r="M54" s="341"/>
      <c r="N54" s="73"/>
      <c r="O54" s="43"/>
      <c r="P54" s="43"/>
    </row>
    <row r="55" spans="1:27" x14ac:dyDescent="0.25">
      <c r="A55" s="47"/>
      <c r="B55" s="128"/>
      <c r="C55" s="41"/>
      <c r="D55" s="41"/>
      <c r="E55" s="41"/>
      <c r="F55" s="41"/>
      <c r="G55" s="41"/>
      <c r="H55" s="43"/>
      <c r="I55" s="76"/>
      <c r="J55" s="71"/>
      <c r="K55" s="41"/>
      <c r="L55" s="41"/>
      <c r="M55" s="341"/>
      <c r="N55" s="73"/>
      <c r="O55" s="43"/>
      <c r="P55" s="43"/>
    </row>
    <row r="56" spans="1:27" x14ac:dyDescent="0.25">
      <c r="A56" s="71"/>
      <c r="B56" s="74"/>
      <c r="C56" s="41"/>
      <c r="D56" s="41"/>
      <c r="E56" s="41"/>
      <c r="F56" s="41"/>
      <c r="G56" s="41"/>
      <c r="H56" s="43"/>
      <c r="I56" s="76"/>
      <c r="J56" s="71"/>
      <c r="K56" s="41"/>
      <c r="L56" s="41"/>
      <c r="M56" s="341"/>
      <c r="N56" s="73"/>
      <c r="O56" s="43"/>
      <c r="P56" s="43"/>
    </row>
    <row r="57" spans="1:27" x14ac:dyDescent="0.25">
      <c r="A57" s="47"/>
      <c r="B57" s="128"/>
      <c r="C57" s="41"/>
      <c r="D57" s="41"/>
      <c r="E57" s="41"/>
      <c r="F57" s="41"/>
      <c r="G57" s="41"/>
      <c r="H57" s="43"/>
      <c r="I57" s="43"/>
      <c r="J57" s="47"/>
      <c r="K57" s="41"/>
      <c r="L57" s="41"/>
      <c r="M57" s="341"/>
      <c r="N57" s="73"/>
      <c r="O57" s="43"/>
      <c r="P57" s="43"/>
    </row>
    <row r="58" spans="1:27" x14ac:dyDescent="0.25">
      <c r="A58" s="47"/>
      <c r="B58" s="128"/>
      <c r="C58" s="41"/>
      <c r="D58" s="41"/>
      <c r="E58" s="41"/>
      <c r="F58" s="41"/>
      <c r="G58" s="340"/>
      <c r="H58" s="43"/>
      <c r="I58" s="43"/>
      <c r="J58" s="47"/>
      <c r="K58" s="41"/>
      <c r="L58" s="41"/>
      <c r="M58" s="341"/>
      <c r="N58" s="73"/>
      <c r="O58" s="43"/>
      <c r="P58" s="43"/>
    </row>
    <row r="59" spans="1:27" x14ac:dyDescent="0.25">
      <c r="A59" s="47"/>
      <c r="B59" s="128"/>
      <c r="C59" s="41"/>
      <c r="D59" s="41"/>
      <c r="E59" s="41"/>
      <c r="F59" s="41"/>
      <c r="G59" s="41"/>
      <c r="H59" s="43"/>
      <c r="I59" s="43"/>
      <c r="J59" s="47"/>
      <c r="K59" s="41"/>
      <c r="L59" s="41"/>
      <c r="M59" s="341"/>
      <c r="N59" s="73"/>
      <c r="O59" s="43"/>
      <c r="P59" s="43"/>
    </row>
    <row r="60" spans="1:27" x14ac:dyDescent="0.25">
      <c r="A60" s="47"/>
      <c r="B60" s="128"/>
      <c r="C60" s="41"/>
      <c r="D60" s="41"/>
      <c r="E60" s="41"/>
      <c r="F60" s="41"/>
      <c r="G60" s="41"/>
      <c r="H60" s="43"/>
      <c r="I60" s="43"/>
      <c r="J60" s="47"/>
      <c r="K60" s="41"/>
      <c r="L60" s="41"/>
      <c r="M60" s="341"/>
      <c r="N60" s="73"/>
      <c r="O60" s="43"/>
      <c r="P60" s="43"/>
    </row>
    <row r="61" spans="1:27" x14ac:dyDescent="0.25">
      <c r="A61" s="47"/>
      <c r="B61" s="128"/>
      <c r="C61" s="41"/>
      <c r="D61" s="41"/>
      <c r="E61" s="41"/>
      <c r="F61" s="41"/>
      <c r="G61" s="41"/>
      <c r="H61" s="43"/>
      <c r="I61" s="43"/>
      <c r="J61" s="47"/>
      <c r="K61" s="41"/>
      <c r="L61" s="41"/>
      <c r="M61" s="341"/>
      <c r="N61" s="73"/>
      <c r="O61" s="43"/>
      <c r="P61" s="43"/>
    </row>
    <row r="63" spans="1:27" x14ac:dyDescent="0.25">
      <c r="L63" s="80" t="s">
        <v>18</v>
      </c>
      <c r="M63" s="332"/>
      <c r="N63" s="335" t="s">
        <v>345</v>
      </c>
    </row>
    <row r="64" spans="1:27" x14ac:dyDescent="0.25">
      <c r="K64" s="79" t="s">
        <v>205</v>
      </c>
      <c r="L64" s="81">
        <f>B11</f>
        <v>20</v>
      </c>
      <c r="M64" s="80">
        <f>B18</f>
        <v>136</v>
      </c>
      <c r="N64" s="80">
        <f>B25</f>
        <v>252</v>
      </c>
      <c r="O64" s="80">
        <f>B32</f>
        <v>368</v>
      </c>
      <c r="P64" s="80">
        <f>B39</f>
        <v>484</v>
      </c>
      <c r="Q64" s="80">
        <f>B46</f>
        <v>600</v>
      </c>
    </row>
    <row r="65" spans="1:18" x14ac:dyDescent="0.25">
      <c r="K65" s="82">
        <f t="shared" ref="K65:K70" si="48">Q3</f>
        <v>0</v>
      </c>
      <c r="L65" s="344">
        <f t="shared" ref="L65:L70" si="49">I11</f>
        <v>47.61904761904762</v>
      </c>
      <c r="M65" s="93">
        <f t="shared" ref="M65:M70" si="50">I18</f>
        <v>272.72727272727275</v>
      </c>
      <c r="N65" s="93">
        <f t="shared" ref="N65:N70" si="51">I25</f>
        <v>507.04225352112678</v>
      </c>
      <c r="O65" s="93">
        <f t="shared" ref="O65:O70" si="52">I32</f>
        <v>750</v>
      </c>
      <c r="P65" s="93">
        <f t="shared" ref="P65:P70" si="53">I39</f>
        <v>967.74193548387098</v>
      </c>
      <c r="Q65" s="93">
        <f t="shared" ref="Q65:Q70" si="54">I46</f>
        <v>1218.75</v>
      </c>
    </row>
    <row r="66" spans="1:18" x14ac:dyDescent="0.25">
      <c r="K66" s="82">
        <f t="shared" si="48"/>
        <v>100</v>
      </c>
      <c r="L66" s="344">
        <f t="shared" si="49"/>
        <v>47.244094488188978</v>
      </c>
      <c r="M66" s="93">
        <f t="shared" si="50"/>
        <v>270.27027027027026</v>
      </c>
      <c r="N66" s="93">
        <f t="shared" si="51"/>
        <v>500</v>
      </c>
      <c r="O66" s="93">
        <f t="shared" si="52"/>
        <v>750</v>
      </c>
      <c r="P66" s="93">
        <f t="shared" si="53"/>
        <v>967.74193548387098</v>
      </c>
      <c r="Q66" s="93">
        <f t="shared" si="54"/>
        <v>1218.75</v>
      </c>
    </row>
    <row r="67" spans="1:18" x14ac:dyDescent="0.25">
      <c r="K67" s="82">
        <f t="shared" si="48"/>
        <v>250</v>
      </c>
      <c r="L67" s="344">
        <f t="shared" si="49"/>
        <v>47.058823529411768</v>
      </c>
      <c r="M67" s="93">
        <f t="shared" si="50"/>
        <v>270.27027027027026</v>
      </c>
      <c r="N67" s="93">
        <f t="shared" si="51"/>
        <v>500</v>
      </c>
      <c r="O67" s="93">
        <f t="shared" si="52"/>
        <v>738.46153846153845</v>
      </c>
      <c r="P67" s="93">
        <f t="shared" si="53"/>
        <v>869.56521739130437</v>
      </c>
      <c r="Q67" s="93">
        <f t="shared" si="54"/>
        <v>1200</v>
      </c>
    </row>
    <row r="68" spans="1:18" x14ac:dyDescent="0.25">
      <c r="K68" s="82">
        <f t="shared" si="48"/>
        <v>500</v>
      </c>
      <c r="L68" s="344">
        <f t="shared" si="49"/>
        <v>46.692607003891048</v>
      </c>
      <c r="M68" s="93">
        <f t="shared" si="50"/>
        <v>267.85714285714283</v>
      </c>
      <c r="N68" s="93">
        <f t="shared" si="51"/>
        <v>500</v>
      </c>
      <c r="O68" s="93">
        <f t="shared" si="52"/>
        <v>727.27272727272725</v>
      </c>
      <c r="P68" s="93">
        <f t="shared" si="53"/>
        <v>869.56521739130437</v>
      </c>
      <c r="Q68" s="93">
        <f t="shared" si="54"/>
        <v>1218.75</v>
      </c>
    </row>
    <row r="69" spans="1:18" x14ac:dyDescent="0.25">
      <c r="K69" s="82">
        <f t="shared" si="48"/>
        <v>750</v>
      </c>
      <c r="L69" s="344">
        <f t="shared" si="49"/>
        <v>46.692607003891048</v>
      </c>
      <c r="M69" s="93">
        <f t="shared" si="50"/>
        <v>265.48672566371681</v>
      </c>
      <c r="N69" s="93">
        <f t="shared" si="51"/>
        <v>493.15068493150687</v>
      </c>
      <c r="O69" s="93">
        <f t="shared" si="52"/>
        <v>716.41791044776119</v>
      </c>
      <c r="P69" s="93">
        <f t="shared" si="53"/>
        <v>857.14285714285711</v>
      </c>
      <c r="Q69" s="93">
        <f t="shared" si="54"/>
        <v>1180.327868852459</v>
      </c>
    </row>
    <row r="70" spans="1:18" x14ac:dyDescent="0.25">
      <c r="K70" s="82">
        <f t="shared" si="48"/>
        <v>1000</v>
      </c>
      <c r="L70" s="344">
        <f t="shared" si="49"/>
        <v>46.692607003891048</v>
      </c>
      <c r="M70" s="93">
        <f t="shared" si="50"/>
        <v>263.15789473684208</v>
      </c>
      <c r="N70" s="93">
        <f t="shared" si="51"/>
        <v>491.80327868852459</v>
      </c>
      <c r="O70" s="93">
        <f t="shared" si="52"/>
        <v>705.88235294117646</v>
      </c>
      <c r="P70" s="93">
        <f t="shared" si="53"/>
        <v>923.07692307692309</v>
      </c>
      <c r="Q70" s="93">
        <f t="shared" si="54"/>
        <v>1161.2903225806451</v>
      </c>
    </row>
    <row r="71" spans="1:18" x14ac:dyDescent="0.25">
      <c r="K71" s="83"/>
      <c r="M71" s="332"/>
    </row>
    <row r="72" spans="1:18" x14ac:dyDescent="0.25">
      <c r="K72" s="335">
        <f>B80</f>
        <v>40</v>
      </c>
      <c r="L72" s="40">
        <f t="shared" ref="L72:Q72" si="55">_xlfn.FORECAST.LINEAR($B$80,L65:L70,$K$65:$K$70)</f>
        <v>47.338365856798589</v>
      </c>
      <c r="M72" s="40">
        <f t="shared" si="55"/>
        <v>271.80677098319654</v>
      </c>
      <c r="N72" s="40">
        <f t="shared" si="55"/>
        <v>503.78303575708088</v>
      </c>
      <c r="O72" s="40">
        <f t="shared" si="55"/>
        <v>749.51061891441441</v>
      </c>
      <c r="P72" s="40">
        <f t="shared" si="55"/>
        <v>934.49177581353956</v>
      </c>
      <c r="Q72" s="40">
        <f t="shared" si="55"/>
        <v>1221.061046106194</v>
      </c>
      <c r="R72" s="335" t="s">
        <v>28</v>
      </c>
    </row>
    <row r="73" spans="1:18" x14ac:dyDescent="0.25">
      <c r="J73" s="335" t="s">
        <v>28</v>
      </c>
      <c r="K73" s="94">
        <f>B79</f>
        <v>100</v>
      </c>
      <c r="L73" s="95">
        <f>_xlfn.FORECAST.LINEAR(K73,L64:Q64,L72:Q72)</f>
        <v>49.264715657150468</v>
      </c>
      <c r="M73" s="332" t="s">
        <v>18</v>
      </c>
    </row>
    <row r="77" spans="1:18" x14ac:dyDescent="0.25">
      <c r="A77" s="49" t="s">
        <v>346</v>
      </c>
      <c r="B77" s="78">
        <v>1230</v>
      </c>
      <c r="C77" s="40" t="s">
        <v>28</v>
      </c>
      <c r="M77" s="332"/>
    </row>
    <row r="78" spans="1:18" x14ac:dyDescent="0.25">
      <c r="B78" s="77">
        <v>600</v>
      </c>
      <c r="C78" s="40" t="s">
        <v>18</v>
      </c>
      <c r="M78" s="332"/>
    </row>
    <row r="79" spans="1:18" x14ac:dyDescent="0.25">
      <c r="A79" s="40" t="s">
        <v>349</v>
      </c>
      <c r="B79" s="78">
        <f>Q</f>
        <v>100</v>
      </c>
      <c r="C79" s="40" t="s">
        <v>28</v>
      </c>
      <c r="M79" s="332"/>
    </row>
    <row r="80" spans="1:18" x14ac:dyDescent="0.25">
      <c r="A80" s="40" t="s">
        <v>350</v>
      </c>
      <c r="B80" s="78">
        <f>Pavg</f>
        <v>40</v>
      </c>
      <c r="C80" s="40">
        <v>1000</v>
      </c>
      <c r="D80" s="40" t="s">
        <v>351</v>
      </c>
      <c r="M80" s="332"/>
    </row>
    <row r="81" spans="1:10" x14ac:dyDescent="0.25">
      <c r="A81" s="40" t="s">
        <v>352</v>
      </c>
      <c r="B81" s="77">
        <v>0</v>
      </c>
      <c r="C81" s="40" t="s">
        <v>353</v>
      </c>
      <c r="E81" s="40" t="s">
        <v>354</v>
      </c>
    </row>
    <row r="82" spans="1:10" x14ac:dyDescent="0.25">
      <c r="A82" s="40" t="s">
        <v>355</v>
      </c>
      <c r="B82" s="77">
        <f>L73</f>
        <v>49.264715657150468</v>
      </c>
    </row>
    <row r="83" spans="1:10" x14ac:dyDescent="0.25">
      <c r="A83" s="40" t="s">
        <v>356</v>
      </c>
      <c r="B83" s="77">
        <f>(1+(B80/C80*B81))*B82</f>
        <v>49.264715657150468</v>
      </c>
    </row>
    <row r="84" spans="1:10" x14ac:dyDescent="0.25">
      <c r="A84" s="40" t="s">
        <v>357</v>
      </c>
    </row>
    <row r="85" spans="1:10" x14ac:dyDescent="0.25">
      <c r="A85" s="79" t="s">
        <v>205</v>
      </c>
      <c r="E85" s="335" t="s">
        <v>358</v>
      </c>
      <c r="H85" s="40" t="s">
        <v>359</v>
      </c>
    </row>
    <row r="86" spans="1:10" x14ac:dyDescent="0.25">
      <c r="A86" s="80" t="s">
        <v>18</v>
      </c>
      <c r="B86" s="77">
        <v>0.1</v>
      </c>
      <c r="C86" s="81">
        <f>B11</f>
        <v>20</v>
      </c>
      <c r="D86" s="80">
        <f>B18</f>
        <v>136</v>
      </c>
      <c r="E86" s="80">
        <f>B25</f>
        <v>252</v>
      </c>
      <c r="F86" s="80">
        <f>B32</f>
        <v>368</v>
      </c>
      <c r="G86" s="80">
        <f>B39</f>
        <v>484</v>
      </c>
      <c r="H86" s="80">
        <f>B46</f>
        <v>600</v>
      </c>
      <c r="I86" s="40">
        <f>H86*10</f>
        <v>6000</v>
      </c>
    </row>
    <row r="87" spans="1:10" x14ac:dyDescent="0.25">
      <c r="A87" s="82">
        <f>Q3</f>
        <v>0</v>
      </c>
      <c r="B87" s="77">
        <f t="shared" ref="B87:B92" si="56">$J$7</f>
        <v>0.3600000000000001</v>
      </c>
      <c r="C87" s="41">
        <f>F11</f>
        <v>3.3</v>
      </c>
      <c r="D87" s="43">
        <f>F18</f>
        <v>11.700000000000001</v>
      </c>
      <c r="E87" s="43">
        <f t="shared" ref="E87:E92" si="57">F25</f>
        <v>19.260000000000002</v>
      </c>
      <c r="F87" s="43">
        <f t="shared" ref="F87:F92" si="58">F32</f>
        <v>26.04</v>
      </c>
      <c r="G87" s="43">
        <f t="shared" ref="G87:G92" si="59">F39</f>
        <v>36.414193548387097</v>
      </c>
      <c r="H87" s="43">
        <f t="shared" ref="H87:H92" si="60">F46</f>
        <v>46.930909090909097</v>
      </c>
      <c r="I87" s="40">
        <f t="shared" ref="I87:I92" si="61">H87*10</f>
        <v>469.30909090909097</v>
      </c>
      <c r="J87" s="40">
        <f t="shared" ref="J87:J92" ca="1" si="62">_xlfn.FORECAST.LINEAR(__RPM1,OFFSET(B87:H87,0,MATCH(__RPM1,$B$86:$H$86,1)-1,1,2),OFFSET($B$86:$H$86,0,MATCH(__RPM1,$B$86:$H$86,1)-1,1,2))</f>
        <v>5.4191690648281368</v>
      </c>
    </row>
    <row r="88" spans="1:10" x14ac:dyDescent="0.25">
      <c r="A88" s="82">
        <f>Q4</f>
        <v>100</v>
      </c>
      <c r="B88" s="77">
        <f t="shared" si="56"/>
        <v>0.3600000000000001</v>
      </c>
      <c r="C88" s="41">
        <f>E12</f>
        <v>6.48</v>
      </c>
      <c r="D88" s="43">
        <f>E19</f>
        <v>17.399999999999999</v>
      </c>
      <c r="E88" s="43">
        <f t="shared" si="57"/>
        <v>32.46</v>
      </c>
      <c r="F88" s="43">
        <f t="shared" si="58"/>
        <v>41.28</v>
      </c>
      <c r="G88" s="43">
        <f t="shared" si="59"/>
        <v>58.280963855421689</v>
      </c>
      <c r="H88" s="43">
        <f t="shared" si="60"/>
        <v>74.599999999999994</v>
      </c>
      <c r="I88" s="40">
        <f t="shared" si="61"/>
        <v>746</v>
      </c>
      <c r="J88" s="40">
        <f t="shared" ca="1" si="62"/>
        <v>9.2349197842765776</v>
      </c>
    </row>
    <row r="89" spans="1:10" x14ac:dyDescent="0.25">
      <c r="A89" s="82">
        <f>Q5</f>
        <v>250</v>
      </c>
      <c r="B89" s="77">
        <f t="shared" si="56"/>
        <v>0.3600000000000001</v>
      </c>
      <c r="C89" s="41">
        <f>E13</f>
        <v>8.8800000000000008</v>
      </c>
      <c r="D89" s="43">
        <f>E20</f>
        <v>22.86</v>
      </c>
      <c r="E89" s="43">
        <f t="shared" si="57"/>
        <v>38.82</v>
      </c>
      <c r="F89" s="43">
        <f t="shared" si="58"/>
        <v>52.02</v>
      </c>
      <c r="G89" s="43">
        <f t="shared" si="59"/>
        <v>70.02</v>
      </c>
      <c r="H89" s="43">
        <f t="shared" si="60"/>
        <v>89.501538461538459</v>
      </c>
      <c r="I89" s="40">
        <f t="shared" si="61"/>
        <v>895.01538461538462</v>
      </c>
      <c r="J89" s="40">
        <f t="shared" ca="1" si="62"/>
        <v>12.406902800749688</v>
      </c>
    </row>
    <row r="90" spans="1:10" x14ac:dyDescent="0.25">
      <c r="A90" s="82">
        <f>Q6</f>
        <v>500</v>
      </c>
      <c r="B90" s="77">
        <f t="shared" si="56"/>
        <v>0.3600000000000001</v>
      </c>
      <c r="C90" s="41">
        <f>E14</f>
        <v>10.5</v>
      </c>
      <c r="D90" s="43">
        <f>E21</f>
        <v>28.74</v>
      </c>
      <c r="E90" s="43">
        <f t="shared" si="57"/>
        <v>46.68</v>
      </c>
      <c r="F90" s="43">
        <f t="shared" si="58"/>
        <v>64.56</v>
      </c>
      <c r="G90" s="43">
        <f t="shared" si="59"/>
        <v>83.94</v>
      </c>
      <c r="H90" s="43">
        <f t="shared" si="60"/>
        <v>104.39</v>
      </c>
      <c r="I90" s="40">
        <f t="shared" si="61"/>
        <v>1043.9000000000001</v>
      </c>
      <c r="J90" s="40">
        <f t="shared" ca="1" si="62"/>
        <v>15.101624255055384</v>
      </c>
    </row>
    <row r="91" spans="1:10" x14ac:dyDescent="0.25">
      <c r="A91" s="82">
        <f>Q7</f>
        <v>750</v>
      </c>
      <c r="B91" s="77">
        <f t="shared" si="56"/>
        <v>0.3600000000000001</v>
      </c>
      <c r="C91" s="41">
        <f>E15</f>
        <v>14.04</v>
      </c>
      <c r="D91" s="43">
        <f>E22</f>
        <v>35.58</v>
      </c>
      <c r="E91" s="43">
        <f t="shared" si="57"/>
        <v>60.6</v>
      </c>
      <c r="F91" s="43">
        <f t="shared" si="58"/>
        <v>80.400000000000006</v>
      </c>
      <c r="G91" s="43">
        <f t="shared" si="59"/>
        <v>101.16</v>
      </c>
      <c r="H91" s="43">
        <f t="shared" si="60"/>
        <v>131.33999999999997</v>
      </c>
      <c r="I91" s="40">
        <f t="shared" si="61"/>
        <v>1313.3999999999996</v>
      </c>
      <c r="J91" s="40">
        <f t="shared" ca="1" si="62"/>
        <v>19.47415495909501</v>
      </c>
    </row>
    <row r="92" spans="1:10" x14ac:dyDescent="0.25">
      <c r="A92" s="82">
        <f>Q8+0.1</f>
        <v>1000.1</v>
      </c>
      <c r="B92" s="77">
        <f t="shared" si="56"/>
        <v>0.3600000000000001</v>
      </c>
      <c r="C92" s="41">
        <f>E16</f>
        <v>19.559999999999999</v>
      </c>
      <c r="D92" s="43">
        <f>E23</f>
        <v>46.02</v>
      </c>
      <c r="E92" s="43">
        <f t="shared" si="57"/>
        <v>74.099999999999994</v>
      </c>
      <c r="F92" s="43">
        <f t="shared" si="58"/>
        <v>104.34</v>
      </c>
      <c r="G92" s="43">
        <f t="shared" si="59"/>
        <v>130.07999999999998</v>
      </c>
      <c r="H92" s="43">
        <f t="shared" si="60"/>
        <v>166.92</v>
      </c>
      <c r="I92" s="40">
        <f t="shared" si="61"/>
        <v>1669.1999999999998</v>
      </c>
      <c r="J92" s="40">
        <f t="shared" ca="1" si="62"/>
        <v>26.235382554208631</v>
      </c>
    </row>
    <row r="95" spans="1:10" x14ac:dyDescent="0.25">
      <c r="A95" s="40" t="s">
        <v>360</v>
      </c>
      <c r="B95" s="84">
        <f>B83</f>
        <v>49.264715657150468</v>
      </c>
      <c r="C95" s="40" t="s">
        <v>18</v>
      </c>
    </row>
    <row r="96" spans="1:10" x14ac:dyDescent="0.25">
      <c r="A96" s="40" t="s">
        <v>361</v>
      </c>
      <c r="B96" s="84">
        <f>B80</f>
        <v>40</v>
      </c>
      <c r="C96" s="40" t="s">
        <v>97</v>
      </c>
    </row>
    <row r="97" spans="1:3" x14ac:dyDescent="0.25">
      <c r="A97" s="40" t="s">
        <v>362</v>
      </c>
      <c r="B97" s="85">
        <f ca="1">_xlfn.FORECAST.LINEAR(Press1,OFFSET(J87:J92,MATCH(Press1,A87:A92,1)-1,0,2),OFFSET(A87:A92,MATCH(Press1,A87:A92,1)-1,0,2))</f>
        <v>6.9454693526075122</v>
      </c>
      <c r="C97" s="40" t="s">
        <v>19</v>
      </c>
    </row>
  </sheetData>
  <mergeCells count="3">
    <mergeCell ref="C9:E9"/>
    <mergeCell ref="F9:H9"/>
    <mergeCell ref="L9:N9"/>
  </mergeCells>
  <pageMargins left="0.70866141732283472" right="0.70866141732283472" top="0.74803149606299213" bottom="0.74803149606299213" header="0.31496062992125984" footer="0.31496062992125984"/>
  <pageSetup scale="63" orientation="landscape" r:id="rId1"/>
  <rowBreaks count="1" manualBreakCount="1">
    <brk id="54" max="1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EEC92-BB1E-4A29-838D-E16A291C8D9E}">
  <sheetPr codeName="Sheet12">
    <tabColor rgb="FF92D050"/>
  </sheetPr>
  <dimension ref="A1:AH98"/>
  <sheetViews>
    <sheetView topLeftCell="A22" zoomScale="90" zoomScaleNormal="90" workbookViewId="0">
      <selection activeCell="X42" sqref="X42"/>
    </sheetView>
  </sheetViews>
  <sheetFormatPr defaultColWidth="9.140625" defaultRowHeight="12.75" x14ac:dyDescent="0.2"/>
  <cols>
    <col min="1" max="1" width="14.7109375" style="207" customWidth="1"/>
    <col min="2" max="2" width="11.28515625" style="209" customWidth="1"/>
    <col min="3" max="3" width="12.42578125" style="207" customWidth="1"/>
    <col min="4" max="4" width="19.140625" style="207" customWidth="1"/>
    <col min="5" max="5" width="13.7109375" style="207" customWidth="1"/>
    <col min="6" max="6" width="14.85546875" style="207" customWidth="1"/>
    <col min="7" max="7" width="13.140625" style="207" customWidth="1"/>
    <col min="8" max="8" width="9.140625" style="207"/>
    <col min="9" max="9" width="15.28515625" style="207" customWidth="1"/>
    <col min="10" max="15" width="9.140625" style="207"/>
    <col min="16" max="16" width="12.140625" style="207" customWidth="1"/>
    <col min="17" max="17" width="10.5703125" style="207" customWidth="1"/>
    <col min="18" max="18" width="12" style="207" customWidth="1"/>
    <col min="19" max="19" width="9.140625" style="207" customWidth="1"/>
    <col min="20" max="20" width="9.140625" style="208"/>
    <col min="21" max="24" width="9.140625" style="207"/>
    <col min="25" max="25" width="12.28515625" style="207" bestFit="1" customWidth="1"/>
    <col min="26" max="16384" width="9.140625" style="207"/>
  </cols>
  <sheetData>
    <row r="1" spans="1:34" x14ac:dyDescent="0.2">
      <c r="B1" s="214" t="s">
        <v>305</v>
      </c>
      <c r="C1" s="285">
        <v>45779</v>
      </c>
      <c r="D1" s="243" t="s">
        <v>381</v>
      </c>
      <c r="E1" s="212"/>
      <c r="F1" s="212"/>
    </row>
    <row r="2" spans="1:34" ht="25.5" customHeight="1" x14ac:dyDescent="0.35">
      <c r="A2" s="401" t="s">
        <v>382</v>
      </c>
      <c r="B2" s="401"/>
      <c r="C2" s="401"/>
      <c r="D2" s="401"/>
      <c r="E2" s="401"/>
      <c r="F2" s="401"/>
      <c r="G2" s="401"/>
      <c r="H2" s="401"/>
      <c r="I2" s="401"/>
      <c r="J2" s="401"/>
      <c r="K2" s="401"/>
      <c r="L2" s="401"/>
      <c r="M2" s="401"/>
      <c r="N2" s="401"/>
      <c r="O2" s="401"/>
      <c r="P2" s="401"/>
      <c r="Q2" s="401"/>
      <c r="R2" s="401"/>
      <c r="S2" s="401"/>
      <c r="T2" s="207"/>
    </row>
    <row r="3" spans="1:34" ht="15" x14ac:dyDescent="0.25">
      <c r="A3" s="234" t="s">
        <v>311</v>
      </c>
      <c r="B3" s="235"/>
      <c r="C3" s="284" t="s">
        <v>364</v>
      </c>
      <c r="D3" s="234"/>
      <c r="E3" s="234"/>
      <c r="F3" s="234"/>
      <c r="G3" s="283"/>
      <c r="H3" s="212"/>
      <c r="P3" s="223"/>
      <c r="R3" s="223"/>
      <c r="S3" s="223"/>
      <c r="T3" s="207"/>
      <c r="Z3" s="234" t="s">
        <v>309</v>
      </c>
      <c r="AA3" s="223" t="s">
        <v>310</v>
      </c>
    </row>
    <row r="4" spans="1:34" ht="15" x14ac:dyDescent="0.25">
      <c r="A4" s="235" t="s">
        <v>313</v>
      </c>
      <c r="B4" s="235"/>
      <c r="C4" s="281">
        <v>0.625</v>
      </c>
      <c r="D4" s="235"/>
      <c r="E4" s="235"/>
      <c r="F4" s="235"/>
      <c r="G4" s="274" t="s">
        <v>314</v>
      </c>
      <c r="H4" s="277" t="s">
        <v>315</v>
      </c>
      <c r="I4" s="277"/>
      <c r="J4" s="277"/>
      <c r="K4" s="277"/>
      <c r="L4" s="277"/>
      <c r="M4" s="277"/>
      <c r="N4" s="277"/>
      <c r="O4" s="277"/>
      <c r="P4" s="277"/>
      <c r="Q4" s="280" t="s">
        <v>19</v>
      </c>
      <c r="R4" s="282"/>
      <c r="S4" s="280"/>
      <c r="T4" s="278"/>
      <c r="U4" s="277"/>
      <c r="V4" s="234"/>
      <c r="Z4" s="234">
        <f>1000*0.1</f>
        <v>100</v>
      </c>
      <c r="AA4" s="274">
        <v>0</v>
      </c>
    </row>
    <row r="5" spans="1:34" ht="15" x14ac:dyDescent="0.25">
      <c r="A5" s="235" t="s">
        <v>317</v>
      </c>
      <c r="B5" s="235"/>
      <c r="C5" s="281">
        <v>25.4</v>
      </c>
      <c r="D5" s="235"/>
      <c r="E5" s="235"/>
      <c r="F5" s="235"/>
      <c r="G5" s="268" t="s">
        <v>318</v>
      </c>
      <c r="H5" s="243">
        <v>73.5</v>
      </c>
      <c r="I5" s="277"/>
      <c r="J5" s="277"/>
      <c r="K5" s="277"/>
      <c r="L5" s="277"/>
      <c r="M5" s="277"/>
      <c r="N5" s="277"/>
      <c r="O5" s="277"/>
      <c r="P5" s="277"/>
      <c r="Q5" s="277">
        <f>H5/1000*25</f>
        <v>1.8374999999999999</v>
      </c>
      <c r="R5" s="279" t="s">
        <v>319</v>
      </c>
      <c r="S5" s="277"/>
      <c r="T5" s="278"/>
      <c r="U5" s="277"/>
      <c r="V5" s="234"/>
      <c r="Z5" s="234">
        <f>1000*0.2</f>
        <v>200</v>
      </c>
      <c r="AA5" s="274">
        <v>100</v>
      </c>
      <c r="AC5" s="207" t="s">
        <v>316</v>
      </c>
    </row>
    <row r="6" spans="1:34" ht="15" x14ac:dyDescent="0.25">
      <c r="A6" s="235" t="s">
        <v>320</v>
      </c>
      <c r="B6" s="235"/>
      <c r="C6" s="281">
        <f>0.15-0.014</f>
        <v>0.13599999999999998</v>
      </c>
      <c r="D6" s="235"/>
      <c r="E6" s="235"/>
      <c r="F6" s="235"/>
      <c r="G6" s="274" t="s">
        <v>321</v>
      </c>
      <c r="H6" s="243">
        <v>64.3</v>
      </c>
      <c r="I6" s="277"/>
      <c r="J6" s="277"/>
      <c r="K6" s="277"/>
      <c r="L6" s="277"/>
      <c r="M6" s="277"/>
      <c r="N6" s="277"/>
      <c r="O6" s="277"/>
      <c r="P6" s="277"/>
      <c r="Q6" s="277">
        <f>H6/1000*25</f>
        <v>1.6074999999999999</v>
      </c>
      <c r="R6" s="279" t="s">
        <v>319</v>
      </c>
      <c r="S6" s="277"/>
      <c r="T6" s="278"/>
      <c r="U6" s="277"/>
      <c r="V6" s="234"/>
      <c r="Z6" s="234">
        <f>1000*0.4</f>
        <v>400</v>
      </c>
      <c r="AA6" s="274">
        <v>250</v>
      </c>
      <c r="AC6" s="207">
        <v>250</v>
      </c>
    </row>
    <row r="7" spans="1:34" ht="15" x14ac:dyDescent="0.25">
      <c r="A7" s="260" t="s">
        <v>322</v>
      </c>
      <c r="B7" s="235"/>
      <c r="C7" s="281" t="s">
        <v>383</v>
      </c>
      <c r="D7" s="235"/>
      <c r="E7" s="235"/>
      <c r="F7" s="235"/>
      <c r="H7" s="277"/>
      <c r="I7" s="277"/>
      <c r="J7" s="277"/>
      <c r="K7" s="277"/>
      <c r="L7" s="277"/>
      <c r="M7" s="277"/>
      <c r="N7" s="277"/>
      <c r="O7" s="277"/>
      <c r="P7" s="277" t="s">
        <v>324</v>
      </c>
      <c r="Q7" s="280">
        <f>Q5-Q6</f>
        <v>0.22999999999999998</v>
      </c>
      <c r="R7" s="280" t="s">
        <v>19</v>
      </c>
      <c r="S7" s="279" t="s">
        <v>325</v>
      </c>
      <c r="T7" s="278"/>
      <c r="U7" s="277"/>
      <c r="V7" s="234"/>
      <c r="Z7" s="234">
        <f>1000*0.6</f>
        <v>600</v>
      </c>
      <c r="AA7" s="274">
        <v>500</v>
      </c>
    </row>
    <row r="8" spans="1:34" ht="15.75" thickBot="1" x14ac:dyDescent="0.3">
      <c r="A8" s="260" t="s">
        <v>326</v>
      </c>
      <c r="B8" s="235"/>
      <c r="C8" s="276" t="s">
        <v>327</v>
      </c>
      <c r="D8" s="260"/>
      <c r="E8" s="260"/>
      <c r="F8" s="260"/>
      <c r="G8" s="207" t="s">
        <v>328</v>
      </c>
      <c r="Q8" s="263"/>
      <c r="R8" s="263"/>
      <c r="S8" s="263"/>
      <c r="V8" s="275"/>
      <c r="Z8" s="234">
        <f>1000*0.8</f>
        <v>800</v>
      </c>
      <c r="AA8" s="274">
        <v>750</v>
      </c>
    </row>
    <row r="9" spans="1:34" ht="15" x14ac:dyDescent="0.25">
      <c r="A9" s="234" t="s">
        <v>205</v>
      </c>
      <c r="C9" s="402" t="s">
        <v>329</v>
      </c>
      <c r="D9" s="403"/>
      <c r="E9" s="404"/>
      <c r="F9" s="234"/>
      <c r="G9" s="402" t="s">
        <v>330</v>
      </c>
      <c r="H9" s="405"/>
      <c r="I9" s="405"/>
      <c r="J9" s="405"/>
      <c r="K9" s="405"/>
      <c r="L9" s="405"/>
      <c r="M9" s="405"/>
      <c r="N9" s="405"/>
      <c r="O9" s="406"/>
      <c r="P9" s="273" t="s">
        <v>331</v>
      </c>
      <c r="Q9" s="272" t="s">
        <v>332</v>
      </c>
      <c r="R9" s="271" t="s">
        <v>333</v>
      </c>
      <c r="S9" s="407"/>
      <c r="T9" s="408"/>
      <c r="U9" s="408"/>
      <c r="V9" s="270"/>
      <c r="W9" s="269" t="s">
        <v>334</v>
      </c>
      <c r="Z9" s="234">
        <v>1000</v>
      </c>
      <c r="AA9" s="268">
        <v>1000</v>
      </c>
      <c r="AG9" s="207">
        <v>10</v>
      </c>
      <c r="AH9" s="207">
        <f>AG9/400*600</f>
        <v>15</v>
      </c>
    </row>
    <row r="10" spans="1:34" ht="15" x14ac:dyDescent="0.25">
      <c r="A10" s="234"/>
      <c r="C10" s="267"/>
      <c r="D10" s="263"/>
      <c r="E10" s="263"/>
      <c r="F10" s="235"/>
      <c r="G10" s="409" t="s">
        <v>384</v>
      </c>
      <c r="H10" s="403"/>
      <c r="I10" s="404"/>
      <c r="J10" s="409" t="s">
        <v>385</v>
      </c>
      <c r="K10" s="403"/>
      <c r="L10" s="404"/>
      <c r="M10" s="409" t="s">
        <v>386</v>
      </c>
      <c r="N10" s="403"/>
      <c r="O10" s="404"/>
      <c r="P10" s="266" t="s">
        <v>387</v>
      </c>
      <c r="Q10" s="263"/>
      <c r="R10" s="223"/>
      <c r="S10" s="263"/>
      <c r="T10" s="209"/>
      <c r="U10" s="209"/>
      <c r="V10" s="265"/>
      <c r="W10" s="264"/>
      <c r="Z10" s="234">
        <v>1100</v>
      </c>
      <c r="AA10" s="223"/>
    </row>
    <row r="11" spans="1:34" ht="15.75" thickBot="1" x14ac:dyDescent="0.3">
      <c r="A11" s="235" t="s">
        <v>8</v>
      </c>
      <c r="B11" s="235" t="s">
        <v>18</v>
      </c>
      <c r="C11" s="260" t="s">
        <v>335</v>
      </c>
      <c r="D11" s="263" t="s">
        <v>365</v>
      </c>
      <c r="E11" s="262" t="s">
        <v>19</v>
      </c>
      <c r="F11" s="261" t="s">
        <v>337</v>
      </c>
      <c r="G11" s="250" t="s">
        <v>388</v>
      </c>
      <c r="H11" s="260" t="s">
        <v>339</v>
      </c>
      <c r="I11" s="260" t="s">
        <v>389</v>
      </c>
      <c r="J11" s="250" t="s">
        <v>388</v>
      </c>
      <c r="K11" s="260" t="s">
        <v>339</v>
      </c>
      <c r="L11" s="260" t="s">
        <v>389</v>
      </c>
      <c r="M11" s="250" t="s">
        <v>388</v>
      </c>
      <c r="N11" s="260" t="s">
        <v>339</v>
      </c>
      <c r="O11" s="260" t="s">
        <v>389</v>
      </c>
      <c r="P11" s="259" t="s">
        <v>340</v>
      </c>
      <c r="Q11" s="258" t="s">
        <v>19</v>
      </c>
      <c r="R11" s="257" t="s">
        <v>341</v>
      </c>
      <c r="S11" s="257"/>
      <c r="T11" s="256" t="s">
        <v>342</v>
      </c>
      <c r="U11" s="255"/>
      <c r="V11" s="254" t="s">
        <v>343</v>
      </c>
      <c r="W11" s="253" t="s">
        <v>344</v>
      </c>
      <c r="X11" s="249"/>
      <c r="Y11" s="248" t="s">
        <v>390</v>
      </c>
      <c r="AG11" s="207">
        <v>50</v>
      </c>
      <c r="AH11" s="207">
        <f>AG11/400*600</f>
        <v>75</v>
      </c>
    </row>
    <row r="12" spans="1:34" ht="15" x14ac:dyDescent="0.25">
      <c r="A12" s="244">
        <f>AA4</f>
        <v>0</v>
      </c>
      <c r="B12" s="235">
        <v>100</v>
      </c>
      <c r="C12" s="243">
        <v>250</v>
      </c>
      <c r="D12" s="243">
        <v>360</v>
      </c>
      <c r="E12" s="242">
        <f t="shared" ref="E12:E17" si="0">C12/1000*3600/D12</f>
        <v>2.5</v>
      </c>
      <c r="F12" s="241">
        <f t="shared" ref="F12:F17" si="1">E12-$Q$7</f>
        <v>2.27</v>
      </c>
      <c r="G12" s="240">
        <v>60</v>
      </c>
      <c r="H12" s="240">
        <v>195</v>
      </c>
      <c r="I12" s="239">
        <f t="shared" ref="I12:I17" si="2">IF(AND(G12&gt;0,H12&gt;0), H12/(G12/60), 0)</f>
        <v>195</v>
      </c>
      <c r="J12" s="240">
        <v>60</v>
      </c>
      <c r="K12" s="240">
        <v>195</v>
      </c>
      <c r="L12" s="239">
        <f t="shared" ref="L12:L17" si="3">IF(AND(J12&gt;0,K12&gt;0), K12/(J12/60), 0)</f>
        <v>195</v>
      </c>
      <c r="M12" s="240">
        <v>60</v>
      </c>
      <c r="N12" s="240">
        <v>195</v>
      </c>
      <c r="O12" s="239">
        <f t="shared" ref="O12:O17" si="4">IF(AND(M12&gt;0,N12&gt;0), N12/(M12/60), 0)</f>
        <v>195</v>
      </c>
      <c r="P12" s="238">
        <f t="shared" ref="P12:P17" si="5">60*H12/G12</f>
        <v>195</v>
      </c>
      <c r="Q12" s="237">
        <f t="shared" ref="Q12:Q17" si="6">P12/100*A12/100*0.8</f>
        <v>0</v>
      </c>
      <c r="R12" s="236">
        <f t="shared" ref="R12:R17" si="7">Q12/E12</f>
        <v>0</v>
      </c>
      <c r="S12" s="214"/>
      <c r="T12" s="233"/>
      <c r="U12" s="232"/>
      <c r="V12" s="251">
        <f t="shared" ref="V12:V17" si="8">B12/AC$6</f>
        <v>0.4</v>
      </c>
      <c r="W12" s="212"/>
      <c r="X12" s="249"/>
      <c r="Y12" s="248" t="s">
        <v>391</v>
      </c>
      <c r="Z12" s="248"/>
    </row>
    <row r="13" spans="1:34" ht="15" x14ac:dyDescent="0.25">
      <c r="A13" s="244">
        <f>AA5</f>
        <v>100</v>
      </c>
      <c r="B13" s="235">
        <v>100</v>
      </c>
      <c r="C13" s="243">
        <v>500</v>
      </c>
      <c r="D13" s="243">
        <v>360</v>
      </c>
      <c r="E13" s="242">
        <f t="shared" si="0"/>
        <v>5</v>
      </c>
      <c r="F13" s="241">
        <f t="shared" si="1"/>
        <v>4.7699999999999996</v>
      </c>
      <c r="G13" s="240">
        <v>60</v>
      </c>
      <c r="H13" s="240">
        <v>191</v>
      </c>
      <c r="I13" s="239">
        <f t="shared" si="2"/>
        <v>191</v>
      </c>
      <c r="J13" s="240">
        <v>60</v>
      </c>
      <c r="K13" s="240">
        <v>191</v>
      </c>
      <c r="L13" s="239">
        <f t="shared" si="3"/>
        <v>191</v>
      </c>
      <c r="M13" s="240">
        <v>60</v>
      </c>
      <c r="N13" s="240">
        <v>1911</v>
      </c>
      <c r="O13" s="239">
        <f t="shared" si="4"/>
        <v>1911</v>
      </c>
      <c r="P13" s="238">
        <f t="shared" si="5"/>
        <v>191</v>
      </c>
      <c r="Q13" s="237">
        <f t="shared" si="6"/>
        <v>1.528</v>
      </c>
      <c r="R13" s="236">
        <f t="shared" si="7"/>
        <v>0.30559999999999998</v>
      </c>
      <c r="S13" s="214"/>
      <c r="T13" s="233">
        <f>P13/$P$13</f>
        <v>1</v>
      </c>
      <c r="U13" s="232"/>
      <c r="V13" s="251">
        <f t="shared" si="8"/>
        <v>0.4</v>
      </c>
      <c r="W13" s="212"/>
      <c r="Y13" s="207" t="s">
        <v>392</v>
      </c>
      <c r="AG13" s="207">
        <v>100</v>
      </c>
      <c r="AH13" s="207">
        <f>AG13/400*600</f>
        <v>150</v>
      </c>
    </row>
    <row r="14" spans="1:34" ht="15" x14ac:dyDescent="0.25">
      <c r="A14" s="244">
        <v>250</v>
      </c>
      <c r="B14" s="235">
        <v>100</v>
      </c>
      <c r="C14" s="243">
        <v>800</v>
      </c>
      <c r="D14" s="243">
        <v>360</v>
      </c>
      <c r="E14" s="242">
        <f t="shared" si="0"/>
        <v>8</v>
      </c>
      <c r="F14" s="241">
        <f t="shared" si="1"/>
        <v>7.77</v>
      </c>
      <c r="G14" s="240">
        <v>60</v>
      </c>
      <c r="H14" s="240">
        <v>187</v>
      </c>
      <c r="I14" s="239">
        <f t="shared" si="2"/>
        <v>187</v>
      </c>
      <c r="J14" s="240">
        <v>60</v>
      </c>
      <c r="K14" s="240">
        <v>187</v>
      </c>
      <c r="L14" s="239">
        <f t="shared" si="3"/>
        <v>187</v>
      </c>
      <c r="M14" s="240">
        <v>60</v>
      </c>
      <c r="N14" s="240">
        <v>187</v>
      </c>
      <c r="O14" s="239">
        <f t="shared" si="4"/>
        <v>187</v>
      </c>
      <c r="P14" s="238">
        <f t="shared" si="5"/>
        <v>187</v>
      </c>
      <c r="Q14" s="237">
        <f t="shared" si="6"/>
        <v>3.74</v>
      </c>
      <c r="R14" s="236">
        <f t="shared" si="7"/>
        <v>0.46750000000000003</v>
      </c>
      <c r="S14" s="214"/>
      <c r="T14" s="233">
        <f>P14/$P$13</f>
        <v>0.97905759162303663</v>
      </c>
      <c r="U14" s="232"/>
      <c r="V14" s="251">
        <f t="shared" si="8"/>
        <v>0.4</v>
      </c>
      <c r="W14" s="212"/>
      <c r="AG14" s="207">
        <v>200</v>
      </c>
      <c r="AH14" s="207">
        <f>AG14/400*600</f>
        <v>300</v>
      </c>
    </row>
    <row r="15" spans="1:34" ht="15" x14ac:dyDescent="0.25">
      <c r="A15" s="244">
        <v>500</v>
      </c>
      <c r="B15" s="235">
        <v>100</v>
      </c>
      <c r="C15" s="243">
        <v>1500</v>
      </c>
      <c r="D15" s="243">
        <v>360</v>
      </c>
      <c r="E15" s="242">
        <f t="shared" si="0"/>
        <v>15</v>
      </c>
      <c r="F15" s="241">
        <f t="shared" si="1"/>
        <v>14.77</v>
      </c>
      <c r="G15" s="240">
        <v>60</v>
      </c>
      <c r="H15" s="240">
        <v>180</v>
      </c>
      <c r="I15" s="239">
        <f t="shared" si="2"/>
        <v>180</v>
      </c>
      <c r="J15" s="240">
        <v>60</v>
      </c>
      <c r="K15" s="240">
        <v>180</v>
      </c>
      <c r="L15" s="239">
        <f t="shared" si="3"/>
        <v>180</v>
      </c>
      <c r="M15" s="240">
        <v>60</v>
      </c>
      <c r="N15" s="240">
        <v>180</v>
      </c>
      <c r="O15" s="239">
        <f t="shared" si="4"/>
        <v>180</v>
      </c>
      <c r="P15" s="238">
        <f t="shared" si="5"/>
        <v>180</v>
      </c>
      <c r="Q15" s="237">
        <f t="shared" si="6"/>
        <v>7.2</v>
      </c>
      <c r="R15" s="236">
        <f t="shared" si="7"/>
        <v>0.48000000000000004</v>
      </c>
      <c r="S15" s="214"/>
      <c r="T15" s="233">
        <f>P15/$P$13</f>
        <v>0.94240837696335078</v>
      </c>
      <c r="U15" s="232"/>
      <c r="V15" s="251">
        <f t="shared" si="8"/>
        <v>0.4</v>
      </c>
      <c r="W15" s="212"/>
      <c r="AG15" s="207">
        <v>300</v>
      </c>
      <c r="AH15" s="207">
        <f>AG15/400*600</f>
        <v>450</v>
      </c>
    </row>
    <row r="16" spans="1:34" ht="15" x14ac:dyDescent="0.25">
      <c r="A16" s="244">
        <v>750</v>
      </c>
      <c r="B16" s="235">
        <v>100</v>
      </c>
      <c r="C16" s="243">
        <v>2200</v>
      </c>
      <c r="D16" s="243">
        <v>360</v>
      </c>
      <c r="E16" s="242">
        <f t="shared" si="0"/>
        <v>22.000000000000004</v>
      </c>
      <c r="F16" s="241">
        <f t="shared" si="1"/>
        <v>21.770000000000003</v>
      </c>
      <c r="G16" s="240">
        <v>60</v>
      </c>
      <c r="H16" s="240">
        <v>170</v>
      </c>
      <c r="I16" s="239">
        <f t="shared" si="2"/>
        <v>170</v>
      </c>
      <c r="J16" s="240">
        <v>60</v>
      </c>
      <c r="K16" s="240">
        <v>170</v>
      </c>
      <c r="L16" s="239">
        <f t="shared" si="3"/>
        <v>170</v>
      </c>
      <c r="M16" s="240">
        <v>60</v>
      </c>
      <c r="N16" s="240">
        <v>170</v>
      </c>
      <c r="O16" s="239">
        <f t="shared" si="4"/>
        <v>170</v>
      </c>
      <c r="P16" s="238">
        <f t="shared" si="5"/>
        <v>170</v>
      </c>
      <c r="Q16" s="237">
        <f t="shared" si="6"/>
        <v>10.200000000000001</v>
      </c>
      <c r="R16" s="236">
        <f t="shared" si="7"/>
        <v>0.46363636363636362</v>
      </c>
      <c r="S16" s="214"/>
      <c r="T16" s="233">
        <f>P16/$P$13</f>
        <v>0.89005235602094246</v>
      </c>
      <c r="U16" s="232"/>
      <c r="V16" s="251">
        <f t="shared" si="8"/>
        <v>0.4</v>
      </c>
      <c r="W16" s="212"/>
      <c r="AG16" s="207">
        <v>400</v>
      </c>
      <c r="AH16" s="207">
        <f>AG16/400*600</f>
        <v>600</v>
      </c>
    </row>
    <row r="17" spans="1:34" ht="15" x14ac:dyDescent="0.25">
      <c r="A17" s="244">
        <v>1000</v>
      </c>
      <c r="B17" s="235">
        <v>100</v>
      </c>
      <c r="C17" s="243">
        <v>3100</v>
      </c>
      <c r="D17" s="243">
        <v>360</v>
      </c>
      <c r="E17" s="242">
        <f t="shared" si="0"/>
        <v>31</v>
      </c>
      <c r="F17" s="241">
        <f t="shared" si="1"/>
        <v>30.77</v>
      </c>
      <c r="G17" s="240">
        <v>60</v>
      </c>
      <c r="H17" s="240">
        <v>160</v>
      </c>
      <c r="I17" s="239">
        <f t="shared" si="2"/>
        <v>160</v>
      </c>
      <c r="J17" s="240">
        <v>60</v>
      </c>
      <c r="K17" s="240">
        <v>160</v>
      </c>
      <c r="L17" s="239">
        <f t="shared" si="3"/>
        <v>160</v>
      </c>
      <c r="M17" s="240">
        <v>60</v>
      </c>
      <c r="N17" s="240">
        <v>160</v>
      </c>
      <c r="O17" s="239">
        <f t="shared" si="4"/>
        <v>160</v>
      </c>
      <c r="P17" s="238">
        <f t="shared" si="5"/>
        <v>160</v>
      </c>
      <c r="Q17" s="237">
        <f t="shared" si="6"/>
        <v>12.8</v>
      </c>
      <c r="R17" s="236">
        <f t="shared" si="7"/>
        <v>0.41290322580645161</v>
      </c>
      <c r="S17" s="214"/>
      <c r="T17" s="233">
        <f>P17/$P$13</f>
        <v>0.83769633507853403</v>
      </c>
      <c r="U17" s="232"/>
      <c r="V17" s="251">
        <f t="shared" si="8"/>
        <v>0.4</v>
      </c>
      <c r="W17" s="212"/>
    </row>
    <row r="18" spans="1:34" ht="15" x14ac:dyDescent="0.25">
      <c r="A18" s="244"/>
      <c r="B18" s="244"/>
      <c r="C18" s="243"/>
      <c r="D18" s="243"/>
      <c r="E18" s="242"/>
      <c r="F18" s="241"/>
      <c r="G18" s="240"/>
      <c r="H18" s="240"/>
      <c r="I18" s="250"/>
      <c r="J18" s="240"/>
      <c r="K18" s="240"/>
      <c r="L18" s="250"/>
      <c r="M18" s="240"/>
      <c r="N18" s="240"/>
      <c r="O18" s="250"/>
      <c r="P18" s="238"/>
      <c r="Q18" s="237"/>
      <c r="R18" s="214"/>
      <c r="S18" s="214"/>
      <c r="T18" s="233"/>
      <c r="U18" s="232"/>
      <c r="V18" s="252"/>
      <c r="W18" s="212"/>
    </row>
    <row r="19" spans="1:34" ht="15" x14ac:dyDescent="0.25">
      <c r="A19" s="244">
        <f>AA11</f>
        <v>0</v>
      </c>
      <c r="B19" s="244">
        <v>200</v>
      </c>
      <c r="C19" s="243">
        <v>300</v>
      </c>
      <c r="D19" s="243">
        <v>300</v>
      </c>
      <c r="E19" s="242">
        <f t="shared" ref="E19:E24" si="9">C19/1000*3600/D19</f>
        <v>3.6</v>
      </c>
      <c r="F19" s="241">
        <f t="shared" ref="F19:F24" si="10">E19-$Q$7</f>
        <v>3.37</v>
      </c>
      <c r="G19" s="240">
        <v>60</v>
      </c>
      <c r="H19" s="240">
        <v>370</v>
      </c>
      <c r="I19" s="239">
        <f t="shared" ref="I19:I24" si="11">IF(AND(G19&gt;0,H19&gt;0), H19/(G19/60), 0)</f>
        <v>370</v>
      </c>
      <c r="J19" s="240">
        <v>60</v>
      </c>
      <c r="K19" s="240">
        <v>370</v>
      </c>
      <c r="L19" s="239">
        <f t="shared" ref="L19:L24" si="12">IF(AND(J19&gt;0,K19&gt;0), K19/(J19/60), 0)</f>
        <v>370</v>
      </c>
      <c r="M19" s="240">
        <v>60</v>
      </c>
      <c r="N19" s="240">
        <v>370</v>
      </c>
      <c r="O19" s="239">
        <f t="shared" ref="O19:O24" si="13">IF(AND(M19&gt;0,N19&gt;0), N19/(M19/60), 0)</f>
        <v>370</v>
      </c>
      <c r="P19" s="238">
        <f t="shared" ref="P19:P24" si="14">60*H19/G19</f>
        <v>370</v>
      </c>
      <c r="Q19" s="237">
        <f t="shared" ref="Q19:Q24" si="15">P19/100*A19/100*0.8</f>
        <v>0</v>
      </c>
      <c r="R19" s="236">
        <f t="shared" ref="R19:R24" si="16">Q19/E19</f>
        <v>0</v>
      </c>
      <c r="S19" s="214"/>
      <c r="T19" s="233"/>
      <c r="U19" s="232"/>
      <c r="V19" s="251">
        <f t="shared" ref="V19:V24" si="17">B19/AC$6</f>
        <v>0.8</v>
      </c>
      <c r="W19" s="212"/>
      <c r="X19" s="249"/>
      <c r="Y19" s="248" t="s">
        <v>391</v>
      </c>
      <c r="Z19" s="248"/>
    </row>
    <row r="20" spans="1:34" ht="15" x14ac:dyDescent="0.25">
      <c r="A20" s="244">
        <v>100</v>
      </c>
      <c r="B20" s="244">
        <v>200</v>
      </c>
      <c r="C20" s="243">
        <v>700</v>
      </c>
      <c r="D20" s="243">
        <v>300</v>
      </c>
      <c r="E20" s="242">
        <f t="shared" si="9"/>
        <v>8.4</v>
      </c>
      <c r="F20" s="241">
        <f t="shared" si="10"/>
        <v>8.17</v>
      </c>
      <c r="G20" s="240">
        <v>60</v>
      </c>
      <c r="H20" s="240">
        <v>365</v>
      </c>
      <c r="I20" s="239">
        <f t="shared" si="11"/>
        <v>365</v>
      </c>
      <c r="J20" s="240">
        <v>60</v>
      </c>
      <c r="K20" s="240">
        <v>365</v>
      </c>
      <c r="L20" s="239">
        <f t="shared" si="12"/>
        <v>365</v>
      </c>
      <c r="M20" s="240">
        <v>60</v>
      </c>
      <c r="N20" s="240">
        <v>365</v>
      </c>
      <c r="O20" s="239">
        <f t="shared" si="13"/>
        <v>365</v>
      </c>
      <c r="P20" s="238">
        <f t="shared" si="14"/>
        <v>365</v>
      </c>
      <c r="Q20" s="237">
        <f t="shared" si="15"/>
        <v>2.92</v>
      </c>
      <c r="R20" s="236">
        <f t="shared" si="16"/>
        <v>0.34761904761904761</v>
      </c>
      <c r="S20" s="214"/>
      <c r="T20" s="233">
        <f>P20/$P$20</f>
        <v>1</v>
      </c>
      <c r="U20" s="232"/>
      <c r="V20" s="251">
        <f t="shared" si="17"/>
        <v>0.8</v>
      </c>
      <c r="W20" s="212"/>
      <c r="Y20" s="207" t="s">
        <v>392</v>
      </c>
      <c r="AG20" s="207">
        <v>100</v>
      </c>
      <c r="AH20" s="207">
        <f>AG20/400*600</f>
        <v>150</v>
      </c>
    </row>
    <row r="21" spans="1:34" ht="15" x14ac:dyDescent="0.25">
      <c r="A21" s="244">
        <v>250</v>
      </c>
      <c r="B21" s="244">
        <v>200</v>
      </c>
      <c r="C21" s="243">
        <v>1200</v>
      </c>
      <c r="D21" s="243">
        <v>300</v>
      </c>
      <c r="E21" s="242">
        <f t="shared" si="9"/>
        <v>14.4</v>
      </c>
      <c r="F21" s="241">
        <f t="shared" si="10"/>
        <v>14.17</v>
      </c>
      <c r="G21" s="240">
        <v>60</v>
      </c>
      <c r="H21" s="240">
        <v>350</v>
      </c>
      <c r="I21" s="239">
        <f t="shared" si="11"/>
        <v>350</v>
      </c>
      <c r="J21" s="240">
        <v>60</v>
      </c>
      <c r="K21" s="240">
        <v>350</v>
      </c>
      <c r="L21" s="239">
        <f t="shared" si="12"/>
        <v>350</v>
      </c>
      <c r="M21" s="240">
        <v>60</v>
      </c>
      <c r="N21" s="240">
        <v>350</v>
      </c>
      <c r="O21" s="239">
        <f t="shared" si="13"/>
        <v>350</v>
      </c>
      <c r="P21" s="238">
        <f t="shared" si="14"/>
        <v>350</v>
      </c>
      <c r="Q21" s="237">
        <f t="shared" si="15"/>
        <v>7</v>
      </c>
      <c r="R21" s="236">
        <f t="shared" si="16"/>
        <v>0.4861111111111111</v>
      </c>
      <c r="S21" s="214"/>
      <c r="T21" s="233">
        <f>P21/$P$20</f>
        <v>0.95890410958904104</v>
      </c>
      <c r="U21" s="232"/>
      <c r="V21" s="251">
        <f t="shared" si="17"/>
        <v>0.8</v>
      </c>
      <c r="W21" s="212"/>
      <c r="AG21" s="207">
        <v>200</v>
      </c>
      <c r="AH21" s="207">
        <f>AG21/400*600</f>
        <v>300</v>
      </c>
    </row>
    <row r="22" spans="1:34" ht="15" x14ac:dyDescent="0.25">
      <c r="A22" s="244">
        <v>500</v>
      </c>
      <c r="B22" s="244">
        <v>200</v>
      </c>
      <c r="C22" s="243">
        <v>2300</v>
      </c>
      <c r="D22" s="243">
        <v>300</v>
      </c>
      <c r="E22" s="242">
        <f t="shared" si="9"/>
        <v>27.6</v>
      </c>
      <c r="F22" s="241">
        <f t="shared" si="10"/>
        <v>27.37</v>
      </c>
      <c r="G22" s="240">
        <v>60</v>
      </c>
      <c r="H22" s="240">
        <v>340</v>
      </c>
      <c r="I22" s="239">
        <f t="shared" si="11"/>
        <v>340</v>
      </c>
      <c r="J22" s="240">
        <v>60</v>
      </c>
      <c r="K22" s="240">
        <v>340</v>
      </c>
      <c r="L22" s="239">
        <f t="shared" si="12"/>
        <v>340</v>
      </c>
      <c r="M22" s="240">
        <v>60</v>
      </c>
      <c r="N22" s="240">
        <v>340</v>
      </c>
      <c r="O22" s="239">
        <f t="shared" si="13"/>
        <v>340</v>
      </c>
      <c r="P22" s="238">
        <f t="shared" si="14"/>
        <v>340</v>
      </c>
      <c r="Q22" s="237">
        <f t="shared" si="15"/>
        <v>13.600000000000001</v>
      </c>
      <c r="R22" s="236">
        <f t="shared" si="16"/>
        <v>0.49275362318840582</v>
      </c>
      <c r="S22" s="214"/>
      <c r="T22" s="233">
        <f>P22/$P$20</f>
        <v>0.93150684931506844</v>
      </c>
      <c r="U22" s="232"/>
      <c r="V22" s="251">
        <f t="shared" si="17"/>
        <v>0.8</v>
      </c>
      <c r="W22" s="212"/>
      <c r="AG22" s="207">
        <v>300</v>
      </c>
      <c r="AH22" s="207">
        <f>AG22/400*600</f>
        <v>450</v>
      </c>
    </row>
    <row r="23" spans="1:34" ht="15" x14ac:dyDescent="0.25">
      <c r="A23" s="244">
        <v>750</v>
      </c>
      <c r="B23" s="244">
        <v>200</v>
      </c>
      <c r="C23" s="243">
        <v>3500</v>
      </c>
      <c r="D23" s="243">
        <v>300</v>
      </c>
      <c r="E23" s="242">
        <f t="shared" si="9"/>
        <v>42</v>
      </c>
      <c r="F23" s="241">
        <f t="shared" si="10"/>
        <v>41.77</v>
      </c>
      <c r="G23" s="240">
        <v>60</v>
      </c>
      <c r="H23" s="240">
        <v>330</v>
      </c>
      <c r="I23" s="239">
        <f t="shared" si="11"/>
        <v>330</v>
      </c>
      <c r="J23" s="240">
        <v>60</v>
      </c>
      <c r="K23" s="240">
        <v>330</v>
      </c>
      <c r="L23" s="239">
        <f t="shared" si="12"/>
        <v>330</v>
      </c>
      <c r="M23" s="240">
        <v>60</v>
      </c>
      <c r="N23" s="240">
        <v>330</v>
      </c>
      <c r="O23" s="239">
        <f t="shared" si="13"/>
        <v>330</v>
      </c>
      <c r="P23" s="238">
        <f t="shared" si="14"/>
        <v>330</v>
      </c>
      <c r="Q23" s="237">
        <f t="shared" si="15"/>
        <v>19.8</v>
      </c>
      <c r="R23" s="236">
        <f t="shared" si="16"/>
        <v>0.47142857142857142</v>
      </c>
      <c r="S23" s="214"/>
      <c r="T23" s="233">
        <f>P23/$P$20</f>
        <v>0.90410958904109584</v>
      </c>
      <c r="U23" s="232"/>
      <c r="V23" s="251">
        <f t="shared" si="17"/>
        <v>0.8</v>
      </c>
      <c r="W23" s="212"/>
      <c r="AG23" s="207">
        <v>400</v>
      </c>
      <c r="AH23" s="207">
        <f>AG23/400*600</f>
        <v>600</v>
      </c>
    </row>
    <row r="24" spans="1:34" ht="15" x14ac:dyDescent="0.25">
      <c r="A24" s="244">
        <v>1000</v>
      </c>
      <c r="B24" s="244">
        <v>200</v>
      </c>
      <c r="C24" s="243">
        <v>5100</v>
      </c>
      <c r="D24" s="243">
        <v>300</v>
      </c>
      <c r="E24" s="242">
        <f t="shared" si="9"/>
        <v>61.2</v>
      </c>
      <c r="F24" s="241">
        <f t="shared" si="10"/>
        <v>60.970000000000006</v>
      </c>
      <c r="G24" s="240">
        <v>60</v>
      </c>
      <c r="H24" s="240">
        <v>320</v>
      </c>
      <c r="I24" s="239">
        <f t="shared" si="11"/>
        <v>320</v>
      </c>
      <c r="J24" s="240">
        <v>60</v>
      </c>
      <c r="K24" s="240">
        <v>320</v>
      </c>
      <c r="L24" s="239">
        <f t="shared" si="12"/>
        <v>320</v>
      </c>
      <c r="M24" s="240">
        <v>60</v>
      </c>
      <c r="N24" s="240">
        <v>320</v>
      </c>
      <c r="O24" s="239">
        <f t="shared" si="13"/>
        <v>320</v>
      </c>
      <c r="P24" s="238">
        <f t="shared" si="14"/>
        <v>320</v>
      </c>
      <c r="Q24" s="237">
        <f t="shared" si="15"/>
        <v>25.6</v>
      </c>
      <c r="R24" s="236">
        <f t="shared" si="16"/>
        <v>0.41830065359477125</v>
      </c>
      <c r="S24" s="214"/>
      <c r="T24" s="233">
        <f>P24/$P$20</f>
        <v>0.87671232876712324</v>
      </c>
      <c r="U24" s="232"/>
      <c r="V24" s="251">
        <f t="shared" si="17"/>
        <v>0.8</v>
      </c>
      <c r="W24" s="212"/>
    </row>
    <row r="25" spans="1:34" ht="15" x14ac:dyDescent="0.25">
      <c r="A25" s="235"/>
      <c r="B25" s="235"/>
      <c r="C25" s="243"/>
      <c r="D25" s="243"/>
      <c r="E25" s="242"/>
      <c r="F25" s="241"/>
      <c r="G25" s="240"/>
      <c r="H25" s="240"/>
      <c r="I25" s="250"/>
      <c r="J25" s="240"/>
      <c r="K25" s="240"/>
      <c r="L25" s="250"/>
      <c r="M25" s="240"/>
      <c r="N25" s="240"/>
      <c r="O25" s="250"/>
      <c r="P25" s="238"/>
      <c r="Q25" s="237"/>
      <c r="R25" s="214"/>
      <c r="S25" s="214"/>
      <c r="T25" s="233"/>
      <c r="U25" s="232"/>
      <c r="V25" s="212"/>
      <c r="W25" s="212"/>
    </row>
    <row r="26" spans="1:34" ht="15" x14ac:dyDescent="0.25">
      <c r="A26" s="244">
        <f>AA18</f>
        <v>0</v>
      </c>
      <c r="B26" s="235">
        <f t="shared" ref="B26:B31" si="18">Z$6</f>
        <v>400</v>
      </c>
      <c r="C26" s="243">
        <v>700</v>
      </c>
      <c r="D26" s="243">
        <v>310</v>
      </c>
      <c r="E26" s="242">
        <f t="shared" ref="E26:E31" si="19">C26/1000*3600/D26</f>
        <v>8.129032258064516</v>
      </c>
      <c r="F26" s="241">
        <f t="shared" ref="F26:F31" si="20">E26-$Q$7</f>
        <v>7.8990322580645156</v>
      </c>
      <c r="G26" s="240">
        <v>60</v>
      </c>
      <c r="H26" s="240">
        <v>740</v>
      </c>
      <c r="I26" s="239">
        <f>IF(AND(G26&gt;0,H26&gt;0), H26/(G26/60), 0)</f>
        <v>740</v>
      </c>
      <c r="J26" s="240">
        <v>60</v>
      </c>
      <c r="K26" s="240">
        <v>740</v>
      </c>
      <c r="L26" s="239">
        <f t="shared" ref="L26:L31" si="21">IF(AND(J26&gt;0,K26&gt;0), K26/(J26/60), 0)</f>
        <v>740</v>
      </c>
      <c r="M26" s="240">
        <v>60</v>
      </c>
      <c r="N26" s="240">
        <v>740</v>
      </c>
      <c r="O26" s="239">
        <f t="shared" ref="O26:O31" si="22">IF(AND(M26&gt;0,N26&gt;0), N26/(M26/60), 0)</f>
        <v>740</v>
      </c>
      <c r="P26" s="238">
        <f t="shared" ref="P26:P31" si="23">60*H26/G26</f>
        <v>740</v>
      </c>
      <c r="Q26" s="237">
        <f t="shared" ref="Q26:Q31" si="24">P26/100*A26/100*0.8</f>
        <v>0</v>
      </c>
      <c r="R26" s="236">
        <f t="shared" ref="R26:R31" si="25">Q26/E26</f>
        <v>0</v>
      </c>
      <c r="S26" s="214"/>
      <c r="T26" s="233"/>
      <c r="U26" s="232"/>
      <c r="V26" s="212"/>
      <c r="W26" s="212"/>
      <c r="X26" s="249"/>
      <c r="Y26" s="248" t="s">
        <v>391</v>
      </c>
      <c r="Z26" s="248"/>
    </row>
    <row r="27" spans="1:34" ht="15" x14ac:dyDescent="0.25">
      <c r="A27" s="244">
        <v>100</v>
      </c>
      <c r="B27" s="235">
        <f t="shared" si="18"/>
        <v>400</v>
      </c>
      <c r="C27" s="243">
        <v>1500</v>
      </c>
      <c r="D27" s="243">
        <v>330</v>
      </c>
      <c r="E27" s="242">
        <f t="shared" si="19"/>
        <v>16.363636363636363</v>
      </c>
      <c r="F27" s="241">
        <f t="shared" si="20"/>
        <v>16.133636363636363</v>
      </c>
      <c r="G27" s="240">
        <v>60</v>
      </c>
      <c r="H27" s="240">
        <v>720</v>
      </c>
      <c r="I27" s="239">
        <f>IF(AND(G27&gt;0,H27&gt;0), H27/(G27/60), 0)</f>
        <v>720</v>
      </c>
      <c r="J27" s="240">
        <v>60</v>
      </c>
      <c r="K27" s="240">
        <v>720</v>
      </c>
      <c r="L27" s="239">
        <f t="shared" si="21"/>
        <v>720</v>
      </c>
      <c r="M27" s="240">
        <v>60</v>
      </c>
      <c r="N27" s="240">
        <v>720</v>
      </c>
      <c r="O27" s="239">
        <f t="shared" si="22"/>
        <v>720</v>
      </c>
      <c r="P27" s="238">
        <f t="shared" si="23"/>
        <v>720</v>
      </c>
      <c r="Q27" s="237">
        <f t="shared" si="24"/>
        <v>5.7600000000000007</v>
      </c>
      <c r="R27" s="236">
        <f t="shared" si="25"/>
        <v>0.35200000000000004</v>
      </c>
      <c r="S27" s="214"/>
      <c r="T27" s="233">
        <f>P27/$P$27</f>
        <v>1</v>
      </c>
      <c r="U27" s="232"/>
      <c r="V27" s="212"/>
      <c r="W27" s="212"/>
      <c r="AG27" s="207">
        <v>100</v>
      </c>
      <c r="AH27" s="207">
        <f>AG27/400*600</f>
        <v>150</v>
      </c>
    </row>
    <row r="28" spans="1:34" ht="15" x14ac:dyDescent="0.25">
      <c r="A28" s="244">
        <v>250</v>
      </c>
      <c r="B28" s="235">
        <f t="shared" si="18"/>
        <v>400</v>
      </c>
      <c r="C28" s="243">
        <v>2300</v>
      </c>
      <c r="D28" s="243">
        <v>300</v>
      </c>
      <c r="E28" s="242">
        <f t="shared" si="19"/>
        <v>27.6</v>
      </c>
      <c r="F28" s="241">
        <f t="shared" si="20"/>
        <v>27.37</v>
      </c>
      <c r="G28" s="240">
        <v>60</v>
      </c>
      <c r="H28" s="240">
        <v>710</v>
      </c>
      <c r="I28" s="239">
        <v>710</v>
      </c>
      <c r="J28" s="240">
        <v>60</v>
      </c>
      <c r="K28" s="240">
        <v>710</v>
      </c>
      <c r="L28" s="239">
        <f t="shared" si="21"/>
        <v>710</v>
      </c>
      <c r="M28" s="240">
        <v>60</v>
      </c>
      <c r="N28" s="240">
        <v>710</v>
      </c>
      <c r="O28" s="239">
        <f t="shared" si="22"/>
        <v>710</v>
      </c>
      <c r="P28" s="238">
        <f t="shared" si="23"/>
        <v>710</v>
      </c>
      <c r="Q28" s="237">
        <f t="shared" si="24"/>
        <v>14.200000000000001</v>
      </c>
      <c r="R28" s="236">
        <f t="shared" si="25"/>
        <v>0.51449275362318847</v>
      </c>
      <c r="S28" s="214"/>
      <c r="T28" s="233">
        <f>P28/$P$27</f>
        <v>0.98611111111111116</v>
      </c>
      <c r="U28" s="232"/>
      <c r="V28" s="212"/>
      <c r="W28" s="212"/>
      <c r="AG28" s="207">
        <v>200</v>
      </c>
      <c r="AH28" s="207">
        <f>AG28/400*600</f>
        <v>300</v>
      </c>
    </row>
    <row r="29" spans="1:34" ht="15" x14ac:dyDescent="0.25">
      <c r="A29" s="244">
        <v>500</v>
      </c>
      <c r="B29" s="235">
        <f t="shared" si="18"/>
        <v>400</v>
      </c>
      <c r="C29" s="243">
        <v>3900</v>
      </c>
      <c r="D29" s="243">
        <v>300</v>
      </c>
      <c r="E29" s="242">
        <f t="shared" si="19"/>
        <v>46.8</v>
      </c>
      <c r="F29" s="241">
        <f t="shared" si="20"/>
        <v>46.57</v>
      </c>
      <c r="G29" s="240">
        <v>60</v>
      </c>
      <c r="H29" s="240">
        <v>690</v>
      </c>
      <c r="I29" s="239">
        <f>IF(AND(G29&gt;0,H29&gt;0), H29/(G29/60), 0)</f>
        <v>690</v>
      </c>
      <c r="J29" s="240">
        <v>60</v>
      </c>
      <c r="K29" s="240">
        <v>690</v>
      </c>
      <c r="L29" s="239">
        <f t="shared" si="21"/>
        <v>690</v>
      </c>
      <c r="M29" s="240">
        <v>60</v>
      </c>
      <c r="N29" s="240">
        <v>690</v>
      </c>
      <c r="O29" s="239">
        <f t="shared" si="22"/>
        <v>690</v>
      </c>
      <c r="P29" s="238">
        <f t="shared" si="23"/>
        <v>690</v>
      </c>
      <c r="Q29" s="237">
        <f t="shared" si="24"/>
        <v>27.6</v>
      </c>
      <c r="R29" s="236">
        <f t="shared" si="25"/>
        <v>0.58974358974358976</v>
      </c>
      <c r="S29" s="214"/>
      <c r="T29" s="233">
        <f>P29/$P$27</f>
        <v>0.95833333333333337</v>
      </c>
      <c r="U29" s="232"/>
      <c r="V29" s="212"/>
      <c r="W29" s="212"/>
      <c r="AG29" s="207">
        <v>300</v>
      </c>
      <c r="AH29" s="207">
        <f>AG29/400*600</f>
        <v>450</v>
      </c>
    </row>
    <row r="30" spans="1:34" ht="15" x14ac:dyDescent="0.25">
      <c r="A30" s="244">
        <v>750</v>
      </c>
      <c r="B30" s="235">
        <f t="shared" si="18"/>
        <v>400</v>
      </c>
      <c r="C30" s="243">
        <v>6300</v>
      </c>
      <c r="D30" s="243">
        <v>330</v>
      </c>
      <c r="E30" s="242">
        <f t="shared" si="19"/>
        <v>68.727272727272734</v>
      </c>
      <c r="F30" s="241">
        <f t="shared" si="20"/>
        <v>68.49727272727273</v>
      </c>
      <c r="G30" s="240">
        <v>60</v>
      </c>
      <c r="H30" s="240">
        <v>660</v>
      </c>
      <c r="I30" s="239">
        <f>IF(AND(G30&gt;0,H30&gt;0), H30/(G30/60), 0)</f>
        <v>660</v>
      </c>
      <c r="J30" s="240">
        <v>60</v>
      </c>
      <c r="K30" s="240">
        <v>665</v>
      </c>
      <c r="L30" s="239">
        <f t="shared" si="21"/>
        <v>665</v>
      </c>
      <c r="M30" s="240">
        <v>60</v>
      </c>
      <c r="N30" s="240">
        <v>670</v>
      </c>
      <c r="O30" s="239">
        <f t="shared" si="22"/>
        <v>670</v>
      </c>
      <c r="P30" s="238">
        <f t="shared" si="23"/>
        <v>660</v>
      </c>
      <c r="Q30" s="237">
        <f t="shared" si="24"/>
        <v>39.6</v>
      </c>
      <c r="R30" s="236">
        <f t="shared" si="25"/>
        <v>0.57619047619047614</v>
      </c>
      <c r="S30" s="214"/>
      <c r="T30" s="233">
        <f>P30/$P$27</f>
        <v>0.91666666666666663</v>
      </c>
      <c r="U30" s="232"/>
      <c r="V30" s="212"/>
      <c r="W30" s="212"/>
      <c r="AG30" s="207">
        <v>400</v>
      </c>
      <c r="AH30" s="207">
        <f>AG30/400*600</f>
        <v>600</v>
      </c>
    </row>
    <row r="31" spans="1:34" ht="15" x14ac:dyDescent="0.25">
      <c r="A31" s="244">
        <v>1000</v>
      </c>
      <c r="B31" s="235">
        <f t="shared" si="18"/>
        <v>400</v>
      </c>
      <c r="C31" s="243">
        <v>7800</v>
      </c>
      <c r="D31" s="243">
        <v>310</v>
      </c>
      <c r="E31" s="242">
        <f t="shared" si="19"/>
        <v>90.58064516129032</v>
      </c>
      <c r="F31" s="241">
        <f t="shared" si="20"/>
        <v>90.350645161290316</v>
      </c>
      <c r="G31" s="240">
        <v>60</v>
      </c>
      <c r="H31" s="240">
        <v>640</v>
      </c>
      <c r="I31" s="239">
        <f>IF(AND(G31&gt;0,H31&gt;0), H31/(G31/60), 0)</f>
        <v>640</v>
      </c>
      <c r="J31" s="240">
        <v>60</v>
      </c>
      <c r="K31" s="240">
        <v>645</v>
      </c>
      <c r="L31" s="239">
        <f t="shared" si="21"/>
        <v>645</v>
      </c>
      <c r="M31" s="240">
        <v>60</v>
      </c>
      <c r="N31" s="240">
        <v>640</v>
      </c>
      <c r="O31" s="239">
        <f t="shared" si="22"/>
        <v>640</v>
      </c>
      <c r="P31" s="238">
        <f t="shared" si="23"/>
        <v>640</v>
      </c>
      <c r="Q31" s="237">
        <f t="shared" si="24"/>
        <v>51.2</v>
      </c>
      <c r="R31" s="236">
        <f t="shared" si="25"/>
        <v>0.56524216524216531</v>
      </c>
      <c r="S31" s="214"/>
      <c r="T31" s="233">
        <f>P31/$P$27</f>
        <v>0.88888888888888884</v>
      </c>
      <c r="U31" s="232"/>
      <c r="V31" s="212"/>
      <c r="W31" s="212"/>
    </row>
    <row r="32" spans="1:34" ht="15" x14ac:dyDescent="0.25">
      <c r="A32" s="244"/>
      <c r="B32" s="235"/>
      <c r="C32" s="243"/>
      <c r="D32" s="243"/>
      <c r="E32" s="242"/>
      <c r="F32" s="241"/>
      <c r="G32" s="240"/>
      <c r="H32" s="240"/>
      <c r="I32" s="250"/>
      <c r="J32" s="240"/>
      <c r="K32" s="240"/>
      <c r="L32" s="250"/>
      <c r="M32" s="240"/>
      <c r="N32" s="240"/>
      <c r="O32" s="250"/>
      <c r="P32" s="238"/>
      <c r="Q32" s="237"/>
      <c r="R32" s="214"/>
      <c r="S32" s="214"/>
      <c r="T32" s="233"/>
      <c r="U32" s="232"/>
      <c r="V32" s="212"/>
      <c r="W32" s="212"/>
    </row>
    <row r="33" spans="1:34" ht="15" x14ac:dyDescent="0.25">
      <c r="A33" s="244">
        <f>AA25</f>
        <v>0</v>
      </c>
      <c r="B33" s="235">
        <f t="shared" ref="B33:B38" si="26">Z$7</f>
        <v>600</v>
      </c>
      <c r="C33" s="243">
        <v>1400</v>
      </c>
      <c r="D33" s="243">
        <v>310</v>
      </c>
      <c r="E33" s="242">
        <f t="shared" ref="E33:E38" si="27">C33/1000*3600/D33</f>
        <v>16.258064516129032</v>
      </c>
      <c r="F33" s="241">
        <f t="shared" ref="F33:F38" si="28">E33-$Q$7</f>
        <v>16.028064516129032</v>
      </c>
      <c r="G33" s="240">
        <v>60</v>
      </c>
      <c r="H33" s="240">
        <v>1140</v>
      </c>
      <c r="I33" s="239">
        <f t="shared" ref="I33:I38" si="29">IF(AND(G33&gt;0,H33&gt;0), H33/(G33/60), 0)</f>
        <v>1140</v>
      </c>
      <c r="J33" s="240">
        <v>60</v>
      </c>
      <c r="K33" s="240">
        <v>1130</v>
      </c>
      <c r="L33" s="239">
        <f t="shared" ref="L33:L38" si="30">IF(AND(J33&gt;0,K33&gt;0), K33/(J33/60), 0)</f>
        <v>1130</v>
      </c>
      <c r="M33" s="240">
        <v>60</v>
      </c>
      <c r="N33" s="240">
        <v>1135</v>
      </c>
      <c r="O33" s="239">
        <f t="shared" ref="O33:O38" si="31">IF(AND(M33&gt;0,N33&gt;0), N33/(M33/60), 0)</f>
        <v>1135</v>
      </c>
      <c r="P33" s="238">
        <f t="shared" ref="P33:P38" si="32">AVERAGE(I33,L33,O33)</f>
        <v>1135</v>
      </c>
      <c r="Q33" s="237">
        <f t="shared" ref="Q33:Q38" si="33">P33/100*A33/100*0.8</f>
        <v>0</v>
      </c>
      <c r="R33" s="236">
        <f t="shared" ref="R33:R38" si="34">Q33/E33</f>
        <v>0</v>
      </c>
      <c r="S33" s="214"/>
      <c r="T33" s="233"/>
      <c r="U33" s="232"/>
      <c r="V33" s="212"/>
      <c r="W33" s="212"/>
      <c r="X33" s="249"/>
      <c r="Y33" s="209" t="s">
        <v>393</v>
      </c>
      <c r="Z33" s="248"/>
    </row>
    <row r="34" spans="1:34" ht="15" x14ac:dyDescent="0.25">
      <c r="A34" s="244">
        <v>100</v>
      </c>
      <c r="B34" s="235">
        <f t="shared" si="26"/>
        <v>600</v>
      </c>
      <c r="C34" s="243">
        <v>2400</v>
      </c>
      <c r="D34" s="243">
        <v>300</v>
      </c>
      <c r="E34" s="242">
        <f t="shared" si="27"/>
        <v>28.8</v>
      </c>
      <c r="F34" s="241">
        <f t="shared" si="28"/>
        <v>28.57</v>
      </c>
      <c r="G34" s="240">
        <v>60</v>
      </c>
      <c r="H34" s="240">
        <v>1080</v>
      </c>
      <c r="I34" s="239">
        <f t="shared" si="29"/>
        <v>1080</v>
      </c>
      <c r="J34" s="240">
        <v>60</v>
      </c>
      <c r="K34" s="240">
        <v>1070</v>
      </c>
      <c r="L34" s="239">
        <f t="shared" si="30"/>
        <v>1070</v>
      </c>
      <c r="M34" s="240">
        <v>60</v>
      </c>
      <c r="N34" s="240">
        <v>1070</v>
      </c>
      <c r="O34" s="239">
        <f t="shared" si="31"/>
        <v>1070</v>
      </c>
      <c r="P34" s="238">
        <f t="shared" si="32"/>
        <v>1073.3333333333333</v>
      </c>
      <c r="Q34" s="237">
        <f t="shared" si="33"/>
        <v>8.586666666666666</v>
      </c>
      <c r="R34" s="236">
        <f t="shared" si="34"/>
        <v>0.29814814814814811</v>
      </c>
      <c r="S34" s="214"/>
      <c r="T34" s="233">
        <f>P34/$P$34</f>
        <v>1</v>
      </c>
      <c r="U34" s="232"/>
      <c r="V34" s="212"/>
      <c r="W34" s="212"/>
      <c r="AG34" s="207">
        <v>100</v>
      </c>
      <c r="AH34" s="207">
        <f>AG34/400*600</f>
        <v>150</v>
      </c>
    </row>
    <row r="35" spans="1:34" ht="15" x14ac:dyDescent="0.25">
      <c r="A35" s="244">
        <v>250</v>
      </c>
      <c r="B35" s="235">
        <f t="shared" si="26"/>
        <v>600</v>
      </c>
      <c r="C35" s="243">
        <v>3600</v>
      </c>
      <c r="D35" s="243">
        <v>310</v>
      </c>
      <c r="E35" s="242">
        <f t="shared" si="27"/>
        <v>41.806451612903224</v>
      </c>
      <c r="F35" s="241">
        <f t="shared" si="28"/>
        <v>41.576451612903227</v>
      </c>
      <c r="G35" s="240">
        <v>60</v>
      </c>
      <c r="H35" s="240">
        <v>1060</v>
      </c>
      <c r="I35" s="239">
        <f t="shared" si="29"/>
        <v>1060</v>
      </c>
      <c r="J35" s="240">
        <v>60</v>
      </c>
      <c r="K35" s="240">
        <v>1050</v>
      </c>
      <c r="L35" s="239">
        <f t="shared" si="30"/>
        <v>1050</v>
      </c>
      <c r="M35" s="240">
        <v>60</v>
      </c>
      <c r="N35" s="240">
        <v>1055</v>
      </c>
      <c r="O35" s="239">
        <f t="shared" si="31"/>
        <v>1055</v>
      </c>
      <c r="P35" s="238">
        <f t="shared" si="32"/>
        <v>1055</v>
      </c>
      <c r="Q35" s="237">
        <f t="shared" si="33"/>
        <v>21.1</v>
      </c>
      <c r="R35" s="236">
        <f t="shared" si="34"/>
        <v>0.50470679012345687</v>
      </c>
      <c r="S35" s="214"/>
      <c r="T35" s="233">
        <f>P35/$P$34</f>
        <v>0.98291925465838514</v>
      </c>
      <c r="U35" s="232"/>
      <c r="V35" s="212"/>
      <c r="W35" s="212"/>
      <c r="AG35" s="207">
        <v>200</v>
      </c>
      <c r="AH35" s="207">
        <f>AG35/400*600</f>
        <v>300</v>
      </c>
    </row>
    <row r="36" spans="1:34" ht="15" x14ac:dyDescent="0.25">
      <c r="A36" s="244">
        <v>500</v>
      </c>
      <c r="B36" s="235">
        <f t="shared" si="26"/>
        <v>600</v>
      </c>
      <c r="C36" s="243">
        <v>5400</v>
      </c>
      <c r="D36" s="243">
        <v>300</v>
      </c>
      <c r="E36" s="242">
        <f t="shared" si="27"/>
        <v>64.8</v>
      </c>
      <c r="F36" s="241">
        <f t="shared" si="28"/>
        <v>64.569999999999993</v>
      </c>
      <c r="G36" s="240">
        <v>60</v>
      </c>
      <c r="H36" s="240">
        <v>1020</v>
      </c>
      <c r="I36" s="239">
        <f t="shared" si="29"/>
        <v>1020</v>
      </c>
      <c r="J36" s="240">
        <v>60</v>
      </c>
      <c r="K36" s="240">
        <v>1020</v>
      </c>
      <c r="L36" s="239">
        <f t="shared" si="30"/>
        <v>1020</v>
      </c>
      <c r="M36" s="240">
        <v>60</v>
      </c>
      <c r="N36" s="240">
        <v>1020</v>
      </c>
      <c r="O36" s="239">
        <f t="shared" si="31"/>
        <v>1020</v>
      </c>
      <c r="P36" s="238">
        <f t="shared" si="32"/>
        <v>1020</v>
      </c>
      <c r="Q36" s="237">
        <f t="shared" si="33"/>
        <v>40.800000000000004</v>
      </c>
      <c r="R36" s="236">
        <f t="shared" si="34"/>
        <v>0.62962962962962976</v>
      </c>
      <c r="S36" s="214"/>
      <c r="T36" s="233">
        <f>P36/$P$34</f>
        <v>0.9503105590062112</v>
      </c>
      <c r="U36" s="232"/>
      <c r="V36" s="212"/>
      <c r="W36" s="212"/>
      <c r="AG36" s="207">
        <v>300</v>
      </c>
      <c r="AH36" s="207">
        <f>AG36/400*600</f>
        <v>450</v>
      </c>
    </row>
    <row r="37" spans="1:34" ht="15" x14ac:dyDescent="0.25">
      <c r="A37" s="244">
        <v>750</v>
      </c>
      <c r="B37" s="235">
        <f t="shared" si="26"/>
        <v>600</v>
      </c>
      <c r="C37" s="243">
        <v>8600</v>
      </c>
      <c r="D37" s="243">
        <v>330</v>
      </c>
      <c r="E37" s="242">
        <f t="shared" si="27"/>
        <v>93.818181818181813</v>
      </c>
      <c r="F37" s="241">
        <f t="shared" si="28"/>
        <v>93.588181818181809</v>
      </c>
      <c r="G37" s="240">
        <v>60</v>
      </c>
      <c r="H37" s="240">
        <v>1000</v>
      </c>
      <c r="I37" s="239">
        <f t="shared" si="29"/>
        <v>1000</v>
      </c>
      <c r="J37" s="240">
        <v>60</v>
      </c>
      <c r="K37" s="240">
        <v>995</v>
      </c>
      <c r="L37" s="239">
        <f t="shared" si="30"/>
        <v>995</v>
      </c>
      <c r="M37" s="240">
        <v>60</v>
      </c>
      <c r="N37" s="240">
        <v>1000</v>
      </c>
      <c r="O37" s="239">
        <f t="shared" si="31"/>
        <v>1000</v>
      </c>
      <c r="P37" s="238">
        <f t="shared" si="32"/>
        <v>998.33333333333337</v>
      </c>
      <c r="Q37" s="237">
        <f t="shared" si="33"/>
        <v>59.900000000000013</v>
      </c>
      <c r="R37" s="236">
        <f t="shared" si="34"/>
        <v>0.63846899224806219</v>
      </c>
      <c r="S37" s="214"/>
      <c r="T37" s="233">
        <f>P37/$P$34</f>
        <v>0.93012422360248459</v>
      </c>
      <c r="U37" s="232"/>
      <c r="V37" s="212"/>
      <c r="W37" s="212"/>
      <c r="AG37" s="207">
        <v>400</v>
      </c>
      <c r="AH37" s="207">
        <f>AG37/400*600</f>
        <v>600</v>
      </c>
    </row>
    <row r="38" spans="1:34" ht="15" x14ac:dyDescent="0.25">
      <c r="A38" s="244">
        <v>1000</v>
      </c>
      <c r="B38" s="235">
        <f t="shared" si="26"/>
        <v>600</v>
      </c>
      <c r="C38" s="243">
        <v>10500</v>
      </c>
      <c r="D38" s="243">
        <v>315</v>
      </c>
      <c r="E38" s="242">
        <f t="shared" si="27"/>
        <v>120</v>
      </c>
      <c r="F38" s="241">
        <f t="shared" si="28"/>
        <v>119.77</v>
      </c>
      <c r="G38" s="240">
        <v>60</v>
      </c>
      <c r="H38" s="240">
        <v>960</v>
      </c>
      <c r="I38" s="239">
        <f t="shared" si="29"/>
        <v>960</v>
      </c>
      <c r="J38" s="240">
        <v>60</v>
      </c>
      <c r="K38" s="240">
        <v>960</v>
      </c>
      <c r="L38" s="239">
        <f t="shared" si="30"/>
        <v>960</v>
      </c>
      <c r="M38" s="240">
        <v>60</v>
      </c>
      <c r="N38" s="240">
        <v>960</v>
      </c>
      <c r="O38" s="239">
        <f t="shared" si="31"/>
        <v>960</v>
      </c>
      <c r="P38" s="238">
        <f t="shared" si="32"/>
        <v>960</v>
      </c>
      <c r="Q38" s="237">
        <f t="shared" si="33"/>
        <v>76.800000000000011</v>
      </c>
      <c r="R38" s="236">
        <f t="shared" si="34"/>
        <v>0.64000000000000012</v>
      </c>
      <c r="S38" s="214"/>
      <c r="T38" s="233">
        <f>P38/$P$34</f>
        <v>0.89440993788819878</v>
      </c>
      <c r="U38" s="232"/>
      <c r="V38" s="212"/>
      <c r="W38" s="212"/>
    </row>
    <row r="39" spans="1:34" ht="15" x14ac:dyDescent="0.25">
      <c r="A39" s="235"/>
      <c r="B39" s="235"/>
      <c r="C39" s="243"/>
      <c r="D39" s="243"/>
      <c r="E39" s="242"/>
      <c r="F39" s="241"/>
      <c r="G39" s="240"/>
      <c r="H39" s="240"/>
      <c r="I39" s="239"/>
      <c r="J39" s="240"/>
      <c r="K39" s="240"/>
      <c r="L39" s="239"/>
      <c r="M39" s="240"/>
      <c r="N39" s="240"/>
      <c r="O39" s="239"/>
      <c r="P39" s="238"/>
      <c r="Q39" s="237"/>
      <c r="R39" s="214"/>
      <c r="S39" s="214"/>
      <c r="T39" s="233"/>
      <c r="U39" s="232"/>
      <c r="V39" s="212"/>
      <c r="W39" s="212"/>
    </row>
    <row r="40" spans="1:34" ht="15" x14ac:dyDescent="0.25">
      <c r="A40" s="244">
        <f>AA32</f>
        <v>0</v>
      </c>
      <c r="B40" s="235">
        <f t="shared" ref="B40:B45" si="35">Z$8</f>
        <v>800</v>
      </c>
      <c r="C40" s="243">
        <v>1600</v>
      </c>
      <c r="D40" s="243">
        <v>310</v>
      </c>
      <c r="E40" s="242">
        <f t="shared" ref="E40:E45" si="36">C40/1000*3600/D40</f>
        <v>18.580645161290324</v>
      </c>
      <c r="F40" s="241">
        <f t="shared" ref="F40:F45" si="37">E40-$Q$7</f>
        <v>18.350645161290323</v>
      </c>
      <c r="G40" s="240">
        <v>60</v>
      </c>
      <c r="H40" s="240">
        <v>1520</v>
      </c>
      <c r="I40" s="239">
        <f t="shared" ref="I40:I45" si="38">IF(AND(G40&gt;0,H40&gt;0), H40/(G40/60), 0)</f>
        <v>1520</v>
      </c>
      <c r="J40" s="240">
        <v>60</v>
      </c>
      <c r="K40" s="240">
        <v>1520</v>
      </c>
      <c r="L40" s="239">
        <f t="shared" ref="L40:L45" si="39">IF(AND(J40&gt;0,K40&gt;0), K40/(J40/60), 0)</f>
        <v>1520</v>
      </c>
      <c r="M40" s="240">
        <v>60</v>
      </c>
      <c r="N40" s="240">
        <v>1510</v>
      </c>
      <c r="O40" s="239">
        <f t="shared" ref="O40:O45" si="40">IF(AND(M40&gt;0,N40&gt;0), N40/(M40/60), 0)</f>
        <v>1510</v>
      </c>
      <c r="P40" s="238">
        <f t="shared" ref="P40:P45" si="41">AVERAGE(I40,L40,O40)</f>
        <v>1516.6666666666667</v>
      </c>
      <c r="Q40" s="237">
        <f t="shared" ref="Q40:Q45" si="42">P40/100*A40/100*0.8</f>
        <v>0</v>
      </c>
      <c r="R40" s="236">
        <f t="shared" ref="R40:R45" si="43">Q40/E40</f>
        <v>0</v>
      </c>
      <c r="S40" s="214"/>
      <c r="T40" s="233"/>
      <c r="U40" s="232"/>
      <c r="V40" s="212"/>
      <c r="W40" s="212"/>
      <c r="X40" s="249"/>
      <c r="Y40" s="209" t="s">
        <v>393</v>
      </c>
      <c r="Z40" s="248"/>
    </row>
    <row r="41" spans="1:34" ht="15" x14ac:dyDescent="0.25">
      <c r="A41" s="244">
        <v>100</v>
      </c>
      <c r="B41" s="235">
        <f t="shared" si="35"/>
        <v>800</v>
      </c>
      <c r="C41" s="243">
        <v>2900</v>
      </c>
      <c r="D41" s="243">
        <v>310</v>
      </c>
      <c r="E41" s="242">
        <f t="shared" si="36"/>
        <v>33.677419354838712</v>
      </c>
      <c r="F41" s="241">
        <f t="shared" si="37"/>
        <v>33.447419354838715</v>
      </c>
      <c r="G41" s="240">
        <v>60</v>
      </c>
      <c r="H41" s="240">
        <v>1440</v>
      </c>
      <c r="I41" s="239">
        <f t="shared" si="38"/>
        <v>1440</v>
      </c>
      <c r="J41" s="240">
        <v>60</v>
      </c>
      <c r="K41" s="240">
        <v>1440</v>
      </c>
      <c r="L41" s="239">
        <f t="shared" si="39"/>
        <v>1440</v>
      </c>
      <c r="M41" s="240">
        <v>60</v>
      </c>
      <c r="N41" s="240">
        <v>1440</v>
      </c>
      <c r="O41" s="239">
        <f t="shared" si="40"/>
        <v>1440</v>
      </c>
      <c r="P41" s="238">
        <f t="shared" si="41"/>
        <v>1440</v>
      </c>
      <c r="Q41" s="237">
        <f t="shared" si="42"/>
        <v>11.520000000000001</v>
      </c>
      <c r="R41" s="236">
        <f t="shared" si="43"/>
        <v>0.34206896551724142</v>
      </c>
      <c r="S41" s="214"/>
      <c r="T41" s="233">
        <f>P41/$P$41</f>
        <v>1</v>
      </c>
      <c r="U41" s="232"/>
      <c r="V41" s="212"/>
      <c r="W41" s="212"/>
      <c r="AG41" s="207">
        <v>100</v>
      </c>
      <c r="AH41" s="207">
        <f>AG41/400*600</f>
        <v>150</v>
      </c>
    </row>
    <row r="42" spans="1:34" ht="15" x14ac:dyDescent="0.25">
      <c r="A42" s="244">
        <v>250</v>
      </c>
      <c r="B42" s="235">
        <f t="shared" si="35"/>
        <v>800</v>
      </c>
      <c r="C42" s="243">
        <v>4500</v>
      </c>
      <c r="D42" s="243">
        <v>310</v>
      </c>
      <c r="E42" s="242">
        <f t="shared" si="36"/>
        <v>52.258064516129032</v>
      </c>
      <c r="F42" s="241">
        <f t="shared" si="37"/>
        <v>52.028064516129035</v>
      </c>
      <c r="G42" s="240">
        <v>60</v>
      </c>
      <c r="H42" s="240">
        <v>1400</v>
      </c>
      <c r="I42" s="239">
        <f t="shared" si="38"/>
        <v>1400</v>
      </c>
      <c r="J42" s="240">
        <v>60</v>
      </c>
      <c r="K42" s="240">
        <v>1400</v>
      </c>
      <c r="L42" s="239">
        <f t="shared" si="39"/>
        <v>1400</v>
      </c>
      <c r="M42" s="240">
        <v>60</v>
      </c>
      <c r="N42" s="240">
        <v>1400</v>
      </c>
      <c r="O42" s="239">
        <f t="shared" si="40"/>
        <v>1400</v>
      </c>
      <c r="P42" s="238">
        <f t="shared" si="41"/>
        <v>1400</v>
      </c>
      <c r="Q42" s="237">
        <f t="shared" si="42"/>
        <v>28</v>
      </c>
      <c r="R42" s="236">
        <f t="shared" si="43"/>
        <v>0.53580246913580243</v>
      </c>
      <c r="S42" s="214"/>
      <c r="T42" s="233">
        <f>P42/$P$41</f>
        <v>0.97222222222222221</v>
      </c>
      <c r="U42" s="232"/>
      <c r="V42" s="212"/>
      <c r="W42" s="212"/>
      <c r="AG42" s="207">
        <v>200</v>
      </c>
      <c r="AH42" s="207">
        <f>AG42/400*600</f>
        <v>300</v>
      </c>
    </row>
    <row r="43" spans="1:34" ht="15" x14ac:dyDescent="0.25">
      <c r="A43" s="244">
        <v>500</v>
      </c>
      <c r="B43" s="235">
        <f t="shared" si="35"/>
        <v>800</v>
      </c>
      <c r="C43" s="243">
        <v>6900</v>
      </c>
      <c r="D43" s="243">
        <v>300</v>
      </c>
      <c r="E43" s="242">
        <f t="shared" si="36"/>
        <v>82.8</v>
      </c>
      <c r="F43" s="241">
        <f t="shared" si="37"/>
        <v>82.57</v>
      </c>
      <c r="G43" s="240">
        <v>60</v>
      </c>
      <c r="H43" s="240">
        <v>1360</v>
      </c>
      <c r="I43" s="239">
        <f t="shared" si="38"/>
        <v>1360</v>
      </c>
      <c r="J43" s="240">
        <v>60</v>
      </c>
      <c r="K43" s="240">
        <v>1360</v>
      </c>
      <c r="L43" s="239">
        <f t="shared" si="39"/>
        <v>1360</v>
      </c>
      <c r="M43" s="240">
        <v>60</v>
      </c>
      <c r="N43" s="240">
        <v>1360</v>
      </c>
      <c r="O43" s="239">
        <f t="shared" si="40"/>
        <v>1360</v>
      </c>
      <c r="P43" s="238">
        <f t="shared" si="41"/>
        <v>1360</v>
      </c>
      <c r="Q43" s="237">
        <f t="shared" si="42"/>
        <v>54.400000000000006</v>
      </c>
      <c r="R43" s="236">
        <f t="shared" si="43"/>
        <v>0.65700483091787454</v>
      </c>
      <c r="S43" s="214"/>
      <c r="T43" s="233">
        <f>P43/$P$41</f>
        <v>0.94444444444444442</v>
      </c>
      <c r="U43" s="232"/>
      <c r="V43" s="212"/>
      <c r="W43" s="212"/>
      <c r="AG43" s="207">
        <v>300</v>
      </c>
      <c r="AH43" s="207">
        <f>AG43/400*600</f>
        <v>450</v>
      </c>
    </row>
    <row r="44" spans="1:34" ht="15" x14ac:dyDescent="0.25">
      <c r="A44" s="244">
        <v>750</v>
      </c>
      <c r="B44" s="235">
        <f t="shared" si="35"/>
        <v>800</v>
      </c>
      <c r="C44" s="243">
        <v>10300</v>
      </c>
      <c r="D44" s="243">
        <v>310</v>
      </c>
      <c r="E44" s="242">
        <f t="shared" si="36"/>
        <v>119.61290322580645</v>
      </c>
      <c r="F44" s="241">
        <f t="shared" si="37"/>
        <v>119.38290322580644</v>
      </c>
      <c r="G44" s="240">
        <v>60</v>
      </c>
      <c r="H44" s="240">
        <v>1320</v>
      </c>
      <c r="I44" s="239">
        <f t="shared" si="38"/>
        <v>1320</v>
      </c>
      <c r="J44" s="240">
        <v>60</v>
      </c>
      <c r="K44" s="240">
        <v>1320</v>
      </c>
      <c r="L44" s="239">
        <f t="shared" si="39"/>
        <v>1320</v>
      </c>
      <c r="M44" s="240">
        <v>60</v>
      </c>
      <c r="N44" s="240">
        <v>1320</v>
      </c>
      <c r="O44" s="239">
        <f t="shared" si="40"/>
        <v>1320</v>
      </c>
      <c r="P44" s="238">
        <f t="shared" si="41"/>
        <v>1320</v>
      </c>
      <c r="Q44" s="237">
        <f t="shared" si="42"/>
        <v>79.2</v>
      </c>
      <c r="R44" s="236">
        <f t="shared" si="43"/>
        <v>0.6621359223300971</v>
      </c>
      <c r="S44" s="214"/>
      <c r="T44" s="233">
        <f>P44/$P$41</f>
        <v>0.91666666666666663</v>
      </c>
      <c r="U44" s="232"/>
      <c r="V44" s="212"/>
      <c r="W44" s="212"/>
      <c r="AG44" s="207">
        <v>400</v>
      </c>
      <c r="AH44" s="207">
        <f>AG44/400*600</f>
        <v>600</v>
      </c>
    </row>
    <row r="45" spans="1:34" ht="15" x14ac:dyDescent="0.25">
      <c r="A45" s="244">
        <v>1000</v>
      </c>
      <c r="B45" s="235">
        <f t="shared" si="35"/>
        <v>800</v>
      </c>
      <c r="C45" s="243">
        <v>12800</v>
      </c>
      <c r="D45" s="243">
        <v>310</v>
      </c>
      <c r="E45" s="242">
        <f t="shared" si="36"/>
        <v>148.64516129032259</v>
      </c>
      <c r="F45" s="241">
        <f t="shared" si="37"/>
        <v>148.4151612903226</v>
      </c>
      <c r="G45" s="240">
        <v>60</v>
      </c>
      <c r="H45" s="240">
        <v>1280</v>
      </c>
      <c r="I45" s="239">
        <f t="shared" si="38"/>
        <v>1280</v>
      </c>
      <c r="J45" s="240">
        <v>60</v>
      </c>
      <c r="K45" s="240">
        <v>1280</v>
      </c>
      <c r="L45" s="239">
        <f t="shared" si="39"/>
        <v>1280</v>
      </c>
      <c r="M45" s="240">
        <v>60</v>
      </c>
      <c r="N45" s="240">
        <v>1280</v>
      </c>
      <c r="O45" s="239">
        <f t="shared" si="40"/>
        <v>1280</v>
      </c>
      <c r="P45" s="238">
        <f t="shared" si="41"/>
        <v>1280</v>
      </c>
      <c r="Q45" s="237">
        <f t="shared" si="42"/>
        <v>102.4</v>
      </c>
      <c r="R45" s="236">
        <f t="shared" si="43"/>
        <v>0.68888888888888888</v>
      </c>
      <c r="S45" s="214"/>
      <c r="T45" s="233">
        <f>P45/$P$41</f>
        <v>0.88888888888888884</v>
      </c>
      <c r="U45" s="232"/>
      <c r="V45" s="212"/>
      <c r="W45" s="212"/>
    </row>
    <row r="46" spans="1:34" ht="15" x14ac:dyDescent="0.25">
      <c r="A46" s="244"/>
      <c r="B46" s="235"/>
      <c r="C46" s="243"/>
      <c r="D46" s="243"/>
      <c r="E46" s="242"/>
      <c r="F46" s="241"/>
      <c r="G46" s="240"/>
      <c r="H46" s="240"/>
      <c r="I46" s="239"/>
      <c r="J46" s="240"/>
      <c r="K46" s="240"/>
      <c r="L46" s="239"/>
      <c r="M46" s="240"/>
      <c r="N46" s="240"/>
      <c r="O46" s="239"/>
      <c r="P46" s="238"/>
      <c r="Q46" s="237"/>
      <c r="R46" s="214"/>
      <c r="S46" s="214"/>
      <c r="T46" s="233"/>
      <c r="U46" s="232"/>
      <c r="V46" s="212"/>
      <c r="W46" s="212"/>
    </row>
    <row r="47" spans="1:34" ht="15" x14ac:dyDescent="0.25">
      <c r="A47" s="244">
        <f>AA39</f>
        <v>0</v>
      </c>
      <c r="B47" s="235">
        <f t="shared" ref="B47:B52" si="44">Z$9</f>
        <v>1000</v>
      </c>
      <c r="C47" s="243">
        <v>2500</v>
      </c>
      <c r="D47" s="243">
        <v>360</v>
      </c>
      <c r="E47" s="242">
        <f t="shared" ref="E47:E52" si="45">C47/1000*3600/D47</f>
        <v>25</v>
      </c>
      <c r="F47" s="241">
        <f t="shared" ref="F47:F52" si="46">E47-$Q$7</f>
        <v>24.77</v>
      </c>
      <c r="G47" s="240">
        <v>60</v>
      </c>
      <c r="H47" s="240">
        <v>1980</v>
      </c>
      <c r="I47" s="239">
        <f t="shared" ref="I47:I52" si="47">IF(AND(G47&gt;0,H47&gt;0), H47/(G47/60), 0)</f>
        <v>1980</v>
      </c>
      <c r="J47" s="240">
        <v>60</v>
      </c>
      <c r="K47" s="240">
        <v>1980</v>
      </c>
      <c r="L47" s="239">
        <f t="shared" ref="L47:L52" si="48">IF(AND(J47&gt;0,K47&gt;0), K47/(J47/60), 0)</f>
        <v>1980</v>
      </c>
      <c r="M47" s="240">
        <v>60</v>
      </c>
      <c r="N47" s="240">
        <v>1980</v>
      </c>
      <c r="O47" s="239">
        <f t="shared" ref="O47:O52" si="49">IF(AND(M47&gt;0,N47&gt;0), N47/(M47/60), 0)</f>
        <v>1980</v>
      </c>
      <c r="P47" s="238">
        <f t="shared" ref="P47:P52" si="50">AVERAGE(I47,L47,O47)</f>
        <v>1980</v>
      </c>
      <c r="Q47" s="237">
        <f t="shared" ref="Q47:Q52" si="51">P47/100*A47/100*0.8</f>
        <v>0</v>
      </c>
      <c r="R47" s="236">
        <f t="shared" ref="R47:R52" si="52">Q47/E47</f>
        <v>0</v>
      </c>
      <c r="S47" s="214"/>
      <c r="T47" s="233"/>
      <c r="U47" s="232"/>
      <c r="V47" s="212"/>
      <c r="W47" s="212"/>
      <c r="X47" s="249"/>
      <c r="Y47" s="209" t="s">
        <v>393</v>
      </c>
      <c r="Z47" s="248"/>
    </row>
    <row r="48" spans="1:34" ht="15" x14ac:dyDescent="0.25">
      <c r="A48" s="244">
        <v>100</v>
      </c>
      <c r="B48" s="235">
        <f t="shared" si="44"/>
        <v>1000</v>
      </c>
      <c r="C48" s="243">
        <v>3500</v>
      </c>
      <c r="D48" s="243">
        <v>330</v>
      </c>
      <c r="E48" s="242">
        <f t="shared" si="45"/>
        <v>38.18181818181818</v>
      </c>
      <c r="F48" s="241">
        <f t="shared" si="46"/>
        <v>37.951818181818183</v>
      </c>
      <c r="G48" s="240">
        <v>60</v>
      </c>
      <c r="H48" s="240">
        <v>1820</v>
      </c>
      <c r="I48" s="239">
        <f t="shared" si="47"/>
        <v>1820</v>
      </c>
      <c r="J48" s="240">
        <v>60</v>
      </c>
      <c r="K48" s="240">
        <v>1810</v>
      </c>
      <c r="L48" s="239">
        <f t="shared" si="48"/>
        <v>1810</v>
      </c>
      <c r="M48" s="240">
        <v>60</v>
      </c>
      <c r="N48" s="240">
        <v>1810</v>
      </c>
      <c r="O48" s="239">
        <f t="shared" si="49"/>
        <v>1810</v>
      </c>
      <c r="P48" s="238">
        <f t="shared" si="50"/>
        <v>1813.3333333333333</v>
      </c>
      <c r="Q48" s="237">
        <f t="shared" si="51"/>
        <v>14.506666666666668</v>
      </c>
      <c r="R48" s="236">
        <f t="shared" si="52"/>
        <v>0.37993650793650796</v>
      </c>
      <c r="S48" s="214"/>
      <c r="T48" s="233">
        <f>P48/$P$48</f>
        <v>1</v>
      </c>
      <c r="U48" s="232"/>
      <c r="V48" s="212"/>
      <c r="W48" s="212"/>
      <c r="AG48" s="207">
        <v>100</v>
      </c>
      <c r="AH48" s="207">
        <f>AG48/400*600</f>
        <v>150</v>
      </c>
    </row>
    <row r="49" spans="1:34" ht="15" x14ac:dyDescent="0.25">
      <c r="A49" s="244">
        <v>250</v>
      </c>
      <c r="B49" s="235">
        <f t="shared" si="44"/>
        <v>1000</v>
      </c>
      <c r="C49" s="243">
        <v>5200</v>
      </c>
      <c r="D49" s="243">
        <v>300</v>
      </c>
      <c r="E49" s="242">
        <f t="shared" si="45"/>
        <v>62.4</v>
      </c>
      <c r="F49" s="241">
        <f t="shared" si="46"/>
        <v>62.17</v>
      </c>
      <c r="G49" s="240">
        <v>60</v>
      </c>
      <c r="H49" s="240">
        <v>1760</v>
      </c>
      <c r="I49" s="239">
        <f t="shared" si="47"/>
        <v>1760</v>
      </c>
      <c r="J49" s="240">
        <v>60</v>
      </c>
      <c r="K49" s="240">
        <v>1760</v>
      </c>
      <c r="L49" s="239">
        <f t="shared" si="48"/>
        <v>1760</v>
      </c>
      <c r="M49" s="240">
        <v>60</v>
      </c>
      <c r="N49" s="240">
        <v>1750</v>
      </c>
      <c r="O49" s="239">
        <f t="shared" si="49"/>
        <v>1750</v>
      </c>
      <c r="P49" s="238">
        <f t="shared" si="50"/>
        <v>1756.6666666666667</v>
      </c>
      <c r="Q49" s="237">
        <f t="shared" si="51"/>
        <v>35.13333333333334</v>
      </c>
      <c r="R49" s="236">
        <f t="shared" si="52"/>
        <v>0.56303418803418814</v>
      </c>
      <c r="S49" s="214"/>
      <c r="T49" s="233">
        <f>P49/$P$48</f>
        <v>0.96875000000000011</v>
      </c>
      <c r="U49" s="232"/>
      <c r="V49" s="212"/>
      <c r="W49" s="212"/>
      <c r="AG49" s="207">
        <v>200</v>
      </c>
      <c r="AH49" s="207">
        <f>AG49/400*600</f>
        <v>300</v>
      </c>
    </row>
    <row r="50" spans="1:34" ht="15" x14ac:dyDescent="0.25">
      <c r="A50" s="244">
        <v>500</v>
      </c>
      <c r="B50" s="235">
        <f t="shared" si="44"/>
        <v>1000</v>
      </c>
      <c r="C50" s="243">
        <v>8750</v>
      </c>
      <c r="D50" s="243">
        <v>310</v>
      </c>
      <c r="E50" s="242">
        <f t="shared" si="45"/>
        <v>101.61290322580645</v>
      </c>
      <c r="F50" s="241">
        <f t="shared" si="46"/>
        <v>101.38290322580644</v>
      </c>
      <c r="G50" s="240">
        <v>60</v>
      </c>
      <c r="H50" s="240">
        <v>1700</v>
      </c>
      <c r="I50" s="239">
        <f t="shared" si="47"/>
        <v>1700</v>
      </c>
      <c r="J50" s="240">
        <v>60</v>
      </c>
      <c r="K50" s="240">
        <v>1690</v>
      </c>
      <c r="L50" s="239">
        <f t="shared" si="48"/>
        <v>1690</v>
      </c>
      <c r="M50" s="240">
        <v>60</v>
      </c>
      <c r="N50" s="240">
        <v>1700</v>
      </c>
      <c r="O50" s="239">
        <f t="shared" si="49"/>
        <v>1700</v>
      </c>
      <c r="P50" s="238">
        <f t="shared" si="50"/>
        <v>1696.6666666666667</v>
      </c>
      <c r="Q50" s="237">
        <f t="shared" si="51"/>
        <v>67.866666666666674</v>
      </c>
      <c r="R50" s="236">
        <f t="shared" si="52"/>
        <v>0.66789417989417998</v>
      </c>
      <c r="S50" s="214"/>
      <c r="T50" s="233">
        <f>P50/$P$48</f>
        <v>0.93566176470588247</v>
      </c>
      <c r="U50" s="232"/>
      <c r="V50" s="212"/>
      <c r="W50" s="212"/>
      <c r="AG50" s="207">
        <v>300</v>
      </c>
      <c r="AH50" s="207">
        <f>AG50/400*600</f>
        <v>450</v>
      </c>
    </row>
    <row r="51" spans="1:34" ht="15" x14ac:dyDescent="0.25">
      <c r="A51" s="244">
        <v>750</v>
      </c>
      <c r="B51" s="235">
        <f t="shared" si="44"/>
        <v>1000</v>
      </c>
      <c r="C51" s="243">
        <v>11500</v>
      </c>
      <c r="D51" s="243">
        <v>300</v>
      </c>
      <c r="E51" s="242">
        <f t="shared" si="45"/>
        <v>138</v>
      </c>
      <c r="F51" s="241">
        <f t="shared" si="46"/>
        <v>137.77000000000001</v>
      </c>
      <c r="G51" s="240">
        <v>60</v>
      </c>
      <c r="H51" s="240">
        <v>1640</v>
      </c>
      <c r="I51" s="239">
        <f t="shared" si="47"/>
        <v>1640</v>
      </c>
      <c r="J51" s="240">
        <v>60</v>
      </c>
      <c r="K51" s="240">
        <v>1635</v>
      </c>
      <c r="L51" s="239">
        <f t="shared" si="48"/>
        <v>1635</v>
      </c>
      <c r="M51" s="240">
        <v>60</v>
      </c>
      <c r="N51" s="240">
        <v>1640</v>
      </c>
      <c r="O51" s="239">
        <f t="shared" si="49"/>
        <v>1640</v>
      </c>
      <c r="P51" s="238">
        <f t="shared" si="50"/>
        <v>1638.3333333333333</v>
      </c>
      <c r="Q51" s="237">
        <f t="shared" si="51"/>
        <v>98.300000000000011</v>
      </c>
      <c r="R51" s="236">
        <f t="shared" si="52"/>
        <v>0.71231884057971018</v>
      </c>
      <c r="S51" s="214"/>
      <c r="T51" s="233">
        <f>P51/$P$48</f>
        <v>0.90349264705882348</v>
      </c>
      <c r="U51" s="232"/>
      <c r="V51" s="212"/>
      <c r="W51" s="212"/>
      <c r="AG51" s="207">
        <v>400</v>
      </c>
      <c r="AH51" s="207">
        <f>AG51/400*600</f>
        <v>600</v>
      </c>
    </row>
    <row r="52" spans="1:34" ht="15" x14ac:dyDescent="0.25">
      <c r="A52" s="244">
        <v>1000</v>
      </c>
      <c r="B52" s="235">
        <f t="shared" si="44"/>
        <v>1000</v>
      </c>
      <c r="C52" s="243">
        <v>15700</v>
      </c>
      <c r="D52" s="243">
        <v>310</v>
      </c>
      <c r="E52" s="242">
        <f t="shared" si="45"/>
        <v>182.32258064516128</v>
      </c>
      <c r="F52" s="241">
        <f t="shared" si="46"/>
        <v>182.09258064516129</v>
      </c>
      <c r="G52" s="240">
        <v>60</v>
      </c>
      <c r="H52" s="240">
        <v>1600</v>
      </c>
      <c r="I52" s="239">
        <f t="shared" si="47"/>
        <v>1600</v>
      </c>
      <c r="J52" s="240">
        <v>60</v>
      </c>
      <c r="K52" s="240">
        <v>1600</v>
      </c>
      <c r="L52" s="239">
        <f t="shared" si="48"/>
        <v>1600</v>
      </c>
      <c r="M52" s="240">
        <v>60</v>
      </c>
      <c r="N52" s="240">
        <v>1600</v>
      </c>
      <c r="O52" s="239">
        <f t="shared" si="49"/>
        <v>1600</v>
      </c>
      <c r="P52" s="238">
        <f t="shared" si="50"/>
        <v>1600</v>
      </c>
      <c r="Q52" s="237">
        <f t="shared" si="51"/>
        <v>128</v>
      </c>
      <c r="R52" s="236">
        <f t="shared" si="52"/>
        <v>0.70205237084217975</v>
      </c>
      <c r="S52" s="214"/>
      <c r="T52" s="233">
        <f>P52/$P$48</f>
        <v>0.88235294117647067</v>
      </c>
      <c r="U52" s="232"/>
      <c r="V52" s="212"/>
      <c r="W52" s="212"/>
    </row>
    <row r="53" spans="1:34" ht="15" x14ac:dyDescent="0.25">
      <c r="A53" s="212"/>
      <c r="B53" s="235"/>
      <c r="C53" s="214"/>
      <c r="D53" s="214"/>
      <c r="E53" s="247"/>
      <c r="F53" s="227"/>
      <c r="G53" s="214"/>
      <c r="H53" s="212"/>
      <c r="I53" s="246"/>
      <c r="J53" s="246"/>
      <c r="K53" s="246"/>
      <c r="L53" s="246"/>
      <c r="M53" s="246"/>
      <c r="N53" s="246"/>
      <c r="O53" s="246"/>
      <c r="P53" s="246"/>
      <c r="Q53" s="245"/>
      <c r="R53" s="214"/>
      <c r="S53" s="214"/>
      <c r="T53" s="233"/>
      <c r="U53" s="232"/>
      <c r="V53" s="212"/>
      <c r="W53" s="212"/>
    </row>
    <row r="54" spans="1:34" ht="15" x14ac:dyDescent="0.25">
      <c r="A54" s="244">
        <f>AA46</f>
        <v>0</v>
      </c>
      <c r="B54" s="244">
        <f>Z10</f>
        <v>1100</v>
      </c>
      <c r="C54" s="243">
        <v>2400</v>
      </c>
      <c r="D54" s="243">
        <v>300</v>
      </c>
      <c r="E54" s="242">
        <f t="shared" ref="E54:E59" si="53">C54/1000*3600/D54</f>
        <v>28.8</v>
      </c>
      <c r="F54" s="241">
        <f t="shared" ref="F54:F59" si="54">E54-$Q$7</f>
        <v>28.57</v>
      </c>
      <c r="G54" s="240">
        <v>60</v>
      </c>
      <c r="H54" s="240">
        <v>2160</v>
      </c>
      <c r="I54" s="239">
        <f t="shared" ref="I54:I59" si="55">IF(AND(G54&gt;0,H54&gt;0), H54/(G54/60), 0)</f>
        <v>2160</v>
      </c>
      <c r="J54" s="240">
        <v>60</v>
      </c>
      <c r="K54" s="240">
        <v>2170</v>
      </c>
      <c r="L54" s="239">
        <f t="shared" ref="L54:L59" si="56">IF(AND(J54&gt;0,K54&gt;0), K54/(J54/60), 0)</f>
        <v>2170</v>
      </c>
      <c r="M54" s="240">
        <v>60</v>
      </c>
      <c r="N54" s="240">
        <v>2170</v>
      </c>
      <c r="O54" s="239">
        <f t="shared" ref="O54:O59" si="57">IF(AND(M54&gt;0,N54&gt;0), N54/(M54/60), 0)</f>
        <v>2170</v>
      </c>
      <c r="P54" s="238">
        <f t="shared" ref="P54:P59" si="58">AVERAGE(I54,L54,O54)</f>
        <v>2166.6666666666665</v>
      </c>
      <c r="Q54" s="237">
        <f t="shared" ref="Q54:Q59" si="59">P54/100*A54/100*0.8</f>
        <v>0</v>
      </c>
      <c r="R54" s="236">
        <f t="shared" ref="R54:R59" si="60">Q54/E54</f>
        <v>0</v>
      </c>
      <c r="S54" s="214"/>
      <c r="T54" s="233"/>
      <c r="U54" s="232"/>
      <c r="V54" s="212"/>
      <c r="W54" s="212"/>
      <c r="Y54" s="209" t="s">
        <v>394</v>
      </c>
    </row>
    <row r="55" spans="1:34" ht="15" x14ac:dyDescent="0.25">
      <c r="A55" s="244">
        <v>100</v>
      </c>
      <c r="B55" s="244">
        <f>B54</f>
        <v>1100</v>
      </c>
      <c r="C55" s="243">
        <v>3700</v>
      </c>
      <c r="D55" s="243">
        <v>310</v>
      </c>
      <c r="E55" s="242">
        <f t="shared" si="53"/>
        <v>42.967741935483872</v>
      </c>
      <c r="F55" s="241">
        <f t="shared" si="54"/>
        <v>42.737741935483875</v>
      </c>
      <c r="G55" s="240">
        <v>60</v>
      </c>
      <c r="H55" s="240">
        <v>1920</v>
      </c>
      <c r="I55" s="239">
        <f t="shared" si="55"/>
        <v>1920</v>
      </c>
      <c r="J55" s="240">
        <v>60</v>
      </c>
      <c r="K55" s="240">
        <v>1925</v>
      </c>
      <c r="L55" s="239">
        <f t="shared" si="56"/>
        <v>1925</v>
      </c>
      <c r="M55" s="240">
        <v>60</v>
      </c>
      <c r="N55" s="240">
        <v>1920</v>
      </c>
      <c r="O55" s="239">
        <f t="shared" si="57"/>
        <v>1920</v>
      </c>
      <c r="P55" s="238">
        <f t="shared" si="58"/>
        <v>1921.6666666666667</v>
      </c>
      <c r="Q55" s="237">
        <f t="shared" si="59"/>
        <v>15.373333333333335</v>
      </c>
      <c r="R55" s="236">
        <f t="shared" si="60"/>
        <v>0.3577877877877878</v>
      </c>
      <c r="S55" s="214"/>
      <c r="T55" s="233">
        <f>P55/$P$55</f>
        <v>1</v>
      </c>
      <c r="U55" s="232"/>
      <c r="V55" s="212"/>
      <c r="W55" s="212"/>
    </row>
    <row r="56" spans="1:34" ht="15" x14ac:dyDescent="0.25">
      <c r="A56" s="244">
        <v>250</v>
      </c>
      <c r="B56" s="244">
        <f>B55</f>
        <v>1100</v>
      </c>
      <c r="C56" s="243">
        <v>5800</v>
      </c>
      <c r="D56" s="243">
        <v>300</v>
      </c>
      <c r="E56" s="242">
        <f t="shared" si="53"/>
        <v>69.599999999999994</v>
      </c>
      <c r="F56" s="241">
        <f t="shared" si="54"/>
        <v>69.36999999999999</v>
      </c>
      <c r="G56" s="240">
        <v>60</v>
      </c>
      <c r="H56" s="240">
        <v>1870</v>
      </c>
      <c r="I56" s="239">
        <f t="shared" si="55"/>
        <v>1870</v>
      </c>
      <c r="J56" s="240">
        <v>60</v>
      </c>
      <c r="K56" s="240">
        <v>1860</v>
      </c>
      <c r="L56" s="239">
        <f t="shared" si="56"/>
        <v>1860</v>
      </c>
      <c r="M56" s="240">
        <v>60</v>
      </c>
      <c r="N56" s="240">
        <v>1865</v>
      </c>
      <c r="O56" s="239">
        <f t="shared" si="57"/>
        <v>1865</v>
      </c>
      <c r="P56" s="238">
        <f t="shared" si="58"/>
        <v>1865</v>
      </c>
      <c r="Q56" s="237">
        <f t="shared" si="59"/>
        <v>37.300000000000004</v>
      </c>
      <c r="R56" s="236">
        <f t="shared" si="60"/>
        <v>0.53591954022988519</v>
      </c>
      <c r="S56" s="214"/>
      <c r="T56" s="233">
        <f>P56/$P$55</f>
        <v>0.97051170858629654</v>
      </c>
      <c r="U56" s="232"/>
      <c r="V56" s="212"/>
      <c r="W56" s="212"/>
    </row>
    <row r="57" spans="1:34" ht="15" x14ac:dyDescent="0.25">
      <c r="A57" s="244">
        <v>500</v>
      </c>
      <c r="B57" s="244">
        <f>B56</f>
        <v>1100</v>
      </c>
      <c r="C57" s="243">
        <v>9400</v>
      </c>
      <c r="D57" s="243">
        <v>300</v>
      </c>
      <c r="E57" s="242">
        <f t="shared" si="53"/>
        <v>112.8</v>
      </c>
      <c r="F57" s="241">
        <f t="shared" si="54"/>
        <v>112.57</v>
      </c>
      <c r="G57" s="240">
        <v>60</v>
      </c>
      <c r="H57" s="240">
        <v>1830</v>
      </c>
      <c r="I57" s="239">
        <f t="shared" si="55"/>
        <v>1830</v>
      </c>
      <c r="J57" s="240">
        <v>60</v>
      </c>
      <c r="K57" s="240">
        <v>1820</v>
      </c>
      <c r="L57" s="239">
        <f t="shared" si="56"/>
        <v>1820</v>
      </c>
      <c r="M57" s="240">
        <v>60</v>
      </c>
      <c r="N57" s="240">
        <v>1820</v>
      </c>
      <c r="O57" s="239">
        <f t="shared" si="57"/>
        <v>1820</v>
      </c>
      <c r="P57" s="238">
        <f t="shared" si="58"/>
        <v>1823.3333333333333</v>
      </c>
      <c r="Q57" s="237">
        <f t="shared" si="59"/>
        <v>72.933333333333351</v>
      </c>
      <c r="R57" s="236">
        <f t="shared" si="60"/>
        <v>0.64657210401891274</v>
      </c>
      <c r="S57" s="214"/>
      <c r="T57" s="233">
        <f>P57/$P$55</f>
        <v>0.94882914137033814</v>
      </c>
      <c r="U57" s="232"/>
      <c r="V57" s="212"/>
      <c r="W57" s="212"/>
    </row>
    <row r="58" spans="1:34" ht="15" x14ac:dyDescent="0.25">
      <c r="A58" s="244">
        <v>750</v>
      </c>
      <c r="B58" s="244">
        <f>B57</f>
        <v>1100</v>
      </c>
      <c r="C58" s="243">
        <v>12800</v>
      </c>
      <c r="D58" s="243">
        <v>300</v>
      </c>
      <c r="E58" s="242">
        <f t="shared" si="53"/>
        <v>153.6</v>
      </c>
      <c r="F58" s="241">
        <f t="shared" si="54"/>
        <v>153.37</v>
      </c>
      <c r="G58" s="240">
        <v>60</v>
      </c>
      <c r="H58" s="240">
        <v>1760</v>
      </c>
      <c r="I58" s="239">
        <f t="shared" si="55"/>
        <v>1760</v>
      </c>
      <c r="J58" s="240">
        <v>60</v>
      </c>
      <c r="K58" s="240">
        <v>1765</v>
      </c>
      <c r="L58" s="239">
        <f t="shared" si="56"/>
        <v>1765</v>
      </c>
      <c r="M58" s="240">
        <v>60</v>
      </c>
      <c r="N58" s="240">
        <v>1760</v>
      </c>
      <c r="O58" s="239">
        <f t="shared" si="57"/>
        <v>1760</v>
      </c>
      <c r="P58" s="238">
        <f t="shared" si="58"/>
        <v>1761.6666666666667</v>
      </c>
      <c r="Q58" s="237">
        <f t="shared" si="59"/>
        <v>105.7</v>
      </c>
      <c r="R58" s="236">
        <f t="shared" si="60"/>
        <v>0.68815104166666674</v>
      </c>
      <c r="S58" s="214"/>
      <c r="T58" s="233">
        <f>P58/$P$55</f>
        <v>0.91673894189071992</v>
      </c>
      <c r="U58" s="232"/>
      <c r="V58" s="212"/>
      <c r="W58" s="212"/>
    </row>
    <row r="59" spans="1:34" ht="15" x14ac:dyDescent="0.25">
      <c r="A59" s="244">
        <v>1000</v>
      </c>
      <c r="B59" s="244">
        <f>B58</f>
        <v>1100</v>
      </c>
      <c r="C59" s="243">
        <v>14900</v>
      </c>
      <c r="D59" s="243">
        <v>300</v>
      </c>
      <c r="E59" s="242">
        <f t="shared" si="53"/>
        <v>178.8</v>
      </c>
      <c r="F59" s="241">
        <f t="shared" si="54"/>
        <v>178.57000000000002</v>
      </c>
      <c r="G59" s="240">
        <v>60</v>
      </c>
      <c r="H59" s="240">
        <v>1730</v>
      </c>
      <c r="I59" s="239">
        <f t="shared" si="55"/>
        <v>1730</v>
      </c>
      <c r="J59" s="240">
        <v>60</v>
      </c>
      <c r="K59" s="240">
        <v>1730</v>
      </c>
      <c r="L59" s="239">
        <f t="shared" si="56"/>
        <v>1730</v>
      </c>
      <c r="M59" s="240">
        <v>60</v>
      </c>
      <c r="N59" s="240">
        <v>1730</v>
      </c>
      <c r="O59" s="239">
        <f t="shared" si="57"/>
        <v>1730</v>
      </c>
      <c r="P59" s="238">
        <f t="shared" si="58"/>
        <v>1730</v>
      </c>
      <c r="Q59" s="237">
        <f t="shared" si="59"/>
        <v>138.4</v>
      </c>
      <c r="R59" s="236">
        <f t="shared" si="60"/>
        <v>0.77404921700223717</v>
      </c>
      <c r="S59" s="214"/>
      <c r="T59" s="233">
        <f>P59/$P$55</f>
        <v>0.90026019080659148</v>
      </c>
      <c r="U59" s="232"/>
      <c r="V59" s="212"/>
      <c r="W59" s="212"/>
    </row>
    <row r="60" spans="1:34" ht="15" x14ac:dyDescent="0.25">
      <c r="A60" s="234"/>
      <c r="B60" s="235"/>
      <c r="C60" s="214"/>
      <c r="D60" s="214"/>
      <c r="E60" s="214"/>
      <c r="F60" s="214"/>
      <c r="G60" s="214"/>
      <c r="H60" s="212"/>
      <c r="I60" s="212"/>
      <c r="J60" s="212"/>
      <c r="K60" s="212"/>
      <c r="L60" s="212"/>
      <c r="M60" s="212"/>
      <c r="N60" s="212"/>
      <c r="O60" s="212"/>
      <c r="P60" s="212"/>
      <c r="Q60" s="234"/>
      <c r="R60" s="214"/>
      <c r="S60" s="214"/>
      <c r="T60" s="233"/>
      <c r="U60" s="232"/>
      <c r="V60" s="212"/>
      <c r="W60" s="212"/>
    </row>
    <row r="61" spans="1:34" ht="15" x14ac:dyDescent="0.25">
      <c r="A61" s="234"/>
      <c r="B61" s="235"/>
      <c r="C61" s="214"/>
      <c r="D61" s="214"/>
      <c r="E61" s="214"/>
      <c r="F61" s="214"/>
      <c r="G61" s="214"/>
      <c r="H61" s="212"/>
      <c r="I61" s="212"/>
      <c r="J61" s="212"/>
      <c r="K61" s="212"/>
      <c r="L61" s="212"/>
      <c r="M61" s="212"/>
      <c r="N61" s="212"/>
      <c r="O61" s="212"/>
      <c r="P61" s="212"/>
      <c r="Q61" s="234"/>
      <c r="R61" s="214"/>
      <c r="S61" s="214"/>
      <c r="T61" s="233"/>
      <c r="U61" s="232"/>
      <c r="V61" s="212"/>
      <c r="W61" s="212"/>
    </row>
    <row r="62" spans="1:34" ht="15" x14ac:dyDescent="0.25">
      <c r="A62" s="234"/>
      <c r="B62" s="235"/>
      <c r="C62" s="214"/>
      <c r="D62" s="214"/>
      <c r="E62" s="214"/>
      <c r="F62" s="214"/>
      <c r="G62" s="214"/>
      <c r="H62" s="212"/>
      <c r="I62" s="212"/>
      <c r="J62" s="212"/>
      <c r="K62" s="212"/>
      <c r="L62" s="212"/>
      <c r="M62" s="212"/>
      <c r="N62" s="212"/>
      <c r="O62" s="212"/>
      <c r="P62" s="212"/>
      <c r="Q62" s="234"/>
      <c r="R62" s="214"/>
      <c r="S62" s="214"/>
      <c r="T62" s="233"/>
      <c r="U62" s="232"/>
      <c r="V62" s="212"/>
      <c r="W62" s="212"/>
    </row>
    <row r="64" spans="1:34" ht="15" x14ac:dyDescent="0.25">
      <c r="E64" s="231"/>
      <c r="K64" s="230"/>
      <c r="S64" s="219" t="s">
        <v>18</v>
      </c>
      <c r="U64" s="207" t="s">
        <v>345</v>
      </c>
    </row>
    <row r="65" spans="1:26" ht="15" x14ac:dyDescent="0.25">
      <c r="E65" s="229"/>
      <c r="R65" s="221" t="s">
        <v>205</v>
      </c>
      <c r="S65" s="220">
        <f>B12</f>
        <v>100</v>
      </c>
      <c r="T65" s="219">
        <f>B19</f>
        <v>200</v>
      </c>
      <c r="U65" s="219">
        <f>B26</f>
        <v>400</v>
      </c>
      <c r="V65" s="219">
        <f>B33</f>
        <v>600</v>
      </c>
      <c r="W65" s="219">
        <f>B40</f>
        <v>800</v>
      </c>
      <c r="X65" s="219">
        <f>B47</f>
        <v>1000</v>
      </c>
      <c r="Y65" s="219">
        <f>B54</f>
        <v>1100</v>
      </c>
    </row>
    <row r="66" spans="1:26" ht="15" x14ac:dyDescent="0.25">
      <c r="R66" s="215">
        <f t="shared" ref="R66:R71" si="61">AA4</f>
        <v>0</v>
      </c>
      <c r="S66" s="227">
        <f t="shared" ref="S66:S71" si="62">W12</f>
        <v>0</v>
      </c>
      <c r="T66" s="226">
        <f t="shared" ref="T66:T71" si="63">W19</f>
        <v>0</v>
      </c>
      <c r="U66" s="226">
        <f t="shared" ref="U66:U71" si="64">P26</f>
        <v>740</v>
      </c>
      <c r="V66" s="226">
        <f t="shared" ref="V66:V71" si="65">P33</f>
        <v>1135</v>
      </c>
      <c r="W66" s="226">
        <f t="shared" ref="W66:W71" si="66">P40</f>
        <v>1516.6666666666667</v>
      </c>
      <c r="X66" s="226">
        <f t="shared" ref="X66:X71" si="67">P47</f>
        <v>1980</v>
      </c>
      <c r="Y66" s="226">
        <f t="shared" ref="Y66:Y71" si="68">P54</f>
        <v>2166.6666666666665</v>
      </c>
    </row>
    <row r="67" spans="1:26" ht="15" x14ac:dyDescent="0.25">
      <c r="R67" s="215">
        <f t="shared" si="61"/>
        <v>100</v>
      </c>
      <c r="S67" s="227">
        <f t="shared" si="62"/>
        <v>0</v>
      </c>
      <c r="T67" s="226">
        <f t="shared" si="63"/>
        <v>0</v>
      </c>
      <c r="U67" s="226">
        <f t="shared" si="64"/>
        <v>720</v>
      </c>
      <c r="V67" s="226">
        <f t="shared" si="65"/>
        <v>1073.3333333333333</v>
      </c>
      <c r="W67" s="226">
        <f t="shared" si="66"/>
        <v>1440</v>
      </c>
      <c r="X67" s="226">
        <f t="shared" si="67"/>
        <v>1813.3333333333333</v>
      </c>
      <c r="Y67" s="226">
        <f t="shared" si="68"/>
        <v>1921.6666666666667</v>
      </c>
    </row>
    <row r="68" spans="1:26" ht="15" x14ac:dyDescent="0.25">
      <c r="R68" s="215">
        <f t="shared" si="61"/>
        <v>250</v>
      </c>
      <c r="S68" s="227">
        <f t="shared" si="62"/>
        <v>0</v>
      </c>
      <c r="T68" s="226">
        <f t="shared" si="63"/>
        <v>0</v>
      </c>
      <c r="U68" s="226">
        <f t="shared" si="64"/>
        <v>710</v>
      </c>
      <c r="V68" s="226">
        <f t="shared" si="65"/>
        <v>1055</v>
      </c>
      <c r="W68" s="226">
        <f t="shared" si="66"/>
        <v>1400</v>
      </c>
      <c r="X68" s="226">
        <f t="shared" si="67"/>
        <v>1756.6666666666667</v>
      </c>
      <c r="Y68" s="226">
        <f t="shared" si="68"/>
        <v>1865</v>
      </c>
    </row>
    <row r="69" spans="1:26" ht="15" x14ac:dyDescent="0.25">
      <c r="R69" s="215">
        <f t="shared" si="61"/>
        <v>500</v>
      </c>
      <c r="S69" s="227">
        <f t="shared" si="62"/>
        <v>0</v>
      </c>
      <c r="T69" s="226">
        <f t="shared" si="63"/>
        <v>0</v>
      </c>
      <c r="U69" s="226">
        <f t="shared" si="64"/>
        <v>690</v>
      </c>
      <c r="V69" s="226">
        <f t="shared" si="65"/>
        <v>1020</v>
      </c>
      <c r="W69" s="226">
        <f t="shared" si="66"/>
        <v>1360</v>
      </c>
      <c r="X69" s="226">
        <f t="shared" si="67"/>
        <v>1696.6666666666667</v>
      </c>
      <c r="Y69" s="226">
        <f t="shared" si="68"/>
        <v>1823.3333333333333</v>
      </c>
    </row>
    <row r="70" spans="1:26" ht="15" x14ac:dyDescent="0.25">
      <c r="I70" s="228"/>
      <c r="R70" s="215">
        <f t="shared" si="61"/>
        <v>750</v>
      </c>
      <c r="S70" s="227">
        <f t="shared" si="62"/>
        <v>0</v>
      </c>
      <c r="T70" s="226">
        <f t="shared" si="63"/>
        <v>0</v>
      </c>
      <c r="U70" s="226">
        <f t="shared" si="64"/>
        <v>660</v>
      </c>
      <c r="V70" s="226">
        <f t="shared" si="65"/>
        <v>998.33333333333337</v>
      </c>
      <c r="W70" s="226">
        <f t="shared" si="66"/>
        <v>1320</v>
      </c>
      <c r="X70" s="226">
        <f t="shared" si="67"/>
        <v>1638.3333333333333</v>
      </c>
      <c r="Y70" s="226">
        <f t="shared" si="68"/>
        <v>1761.6666666666667</v>
      </c>
    </row>
    <row r="71" spans="1:26" ht="15" x14ac:dyDescent="0.25">
      <c r="R71" s="215">
        <f t="shared" si="61"/>
        <v>1000</v>
      </c>
      <c r="S71" s="227">
        <f t="shared" si="62"/>
        <v>0</v>
      </c>
      <c r="T71" s="226">
        <f t="shared" si="63"/>
        <v>0</v>
      </c>
      <c r="U71" s="226">
        <f t="shared" si="64"/>
        <v>640</v>
      </c>
      <c r="V71" s="226">
        <f t="shared" si="65"/>
        <v>960</v>
      </c>
      <c r="W71" s="226">
        <f t="shared" si="66"/>
        <v>1280</v>
      </c>
      <c r="X71" s="226">
        <f t="shared" si="67"/>
        <v>1600</v>
      </c>
      <c r="Y71" s="226">
        <f t="shared" si="68"/>
        <v>1730</v>
      </c>
    </row>
    <row r="72" spans="1:26" ht="15" x14ac:dyDescent="0.25">
      <c r="R72" s="225"/>
    </row>
    <row r="73" spans="1:26" x14ac:dyDescent="0.2">
      <c r="R73" s="207">
        <f>B81</f>
        <v>40</v>
      </c>
      <c r="S73" s="207">
        <f t="shared" ref="S73:Y73" si="69">_xlfn.FORECAST.LINEAR($B$81,S66:S71,$R$66:$R$71)</f>
        <v>0</v>
      </c>
      <c r="T73" s="207">
        <f t="shared" si="69"/>
        <v>0</v>
      </c>
      <c r="U73" s="207">
        <f t="shared" si="69"/>
        <v>731.28351648351656</v>
      </c>
      <c r="V73" s="207">
        <f t="shared" si="69"/>
        <v>1099.8684981684978</v>
      </c>
      <c r="W73" s="207">
        <f t="shared" si="69"/>
        <v>1469.0424908424909</v>
      </c>
      <c r="X73" s="207">
        <f t="shared" si="69"/>
        <v>1875.0523809523809</v>
      </c>
      <c r="Y73" s="207">
        <f t="shared" si="69"/>
        <v>2013.7483516483514</v>
      </c>
      <c r="Z73" s="207" t="s">
        <v>28</v>
      </c>
    </row>
    <row r="74" spans="1:26" x14ac:dyDescent="0.2">
      <c r="Q74" s="207" t="s">
        <v>28</v>
      </c>
      <c r="R74" s="213">
        <f>B80</f>
        <v>100</v>
      </c>
      <c r="S74" s="224">
        <f>_xlfn.FORECAST.LINEAR(R74,S65:X65,S73:X73)</f>
        <v>173.70259093800632</v>
      </c>
      <c r="T74" s="208" t="s">
        <v>18</v>
      </c>
    </row>
    <row r="78" spans="1:26" ht="15" x14ac:dyDescent="0.25">
      <c r="A78" s="223" t="s">
        <v>346</v>
      </c>
      <c r="B78" s="209">
        <v>1670</v>
      </c>
      <c r="C78" s="207" t="s">
        <v>28</v>
      </c>
    </row>
    <row r="79" spans="1:26" x14ac:dyDescent="0.2">
      <c r="B79" s="209">
        <v>1000</v>
      </c>
      <c r="C79" s="207" t="s">
        <v>18</v>
      </c>
    </row>
    <row r="80" spans="1:26" x14ac:dyDescent="0.2">
      <c r="A80" s="207" t="s">
        <v>349</v>
      </c>
      <c r="B80" s="222">
        <f>PumpSize!G11</f>
        <v>100</v>
      </c>
      <c r="C80" s="207" t="s">
        <v>28</v>
      </c>
    </row>
    <row r="81" spans="1:23" x14ac:dyDescent="0.2">
      <c r="A81" s="207" t="s">
        <v>350</v>
      </c>
      <c r="B81" s="222">
        <f>Pavg</f>
        <v>40</v>
      </c>
      <c r="C81" s="207">
        <v>1000</v>
      </c>
      <c r="D81" s="207" t="s">
        <v>351</v>
      </c>
    </row>
    <row r="82" spans="1:23" x14ac:dyDescent="0.2">
      <c r="A82" s="207" t="s">
        <v>352</v>
      </c>
      <c r="B82" s="209">
        <v>0</v>
      </c>
      <c r="C82" s="207" t="s">
        <v>353</v>
      </c>
      <c r="E82" s="207" t="s">
        <v>354</v>
      </c>
    </row>
    <row r="83" spans="1:23" x14ac:dyDescent="0.2">
      <c r="A83" s="207" t="s">
        <v>355</v>
      </c>
      <c r="B83" s="209">
        <f>S74</f>
        <v>173.70259093800632</v>
      </c>
      <c r="T83" s="216">
        <v>100</v>
      </c>
      <c r="U83" s="216"/>
      <c r="V83" s="207">
        <v>200</v>
      </c>
    </row>
    <row r="84" spans="1:23" x14ac:dyDescent="0.2">
      <c r="A84" s="207" t="s">
        <v>356</v>
      </c>
      <c r="B84" s="209">
        <f>(1+(B81/C81*B82))*B83</f>
        <v>173.70259093800632</v>
      </c>
      <c r="T84" s="208" t="s">
        <v>347</v>
      </c>
      <c r="U84" s="207" t="s">
        <v>348</v>
      </c>
      <c r="V84" s="207" t="s">
        <v>347</v>
      </c>
      <c r="W84" s="207" t="s">
        <v>348</v>
      </c>
    </row>
    <row r="85" spans="1:23" x14ac:dyDescent="0.2">
      <c r="A85" s="207" t="s">
        <v>357</v>
      </c>
      <c r="T85" s="216">
        <f t="shared" ref="T85:T90" si="70">C88</f>
        <v>2.27</v>
      </c>
      <c r="U85" s="218">
        <f t="shared" ref="U85:U90" si="71">S66</f>
        <v>0</v>
      </c>
      <c r="V85" s="207">
        <f t="shared" ref="V85:V90" si="72">D88</f>
        <v>3.37</v>
      </c>
      <c r="W85" s="217">
        <f t="shared" ref="W85:W90" si="73">T66</f>
        <v>0</v>
      </c>
    </row>
    <row r="86" spans="1:23" ht="15" x14ac:dyDescent="0.25">
      <c r="A86" s="221" t="s">
        <v>205</v>
      </c>
      <c r="E86" s="207" t="s">
        <v>358</v>
      </c>
      <c r="H86" s="207" t="s">
        <v>359</v>
      </c>
      <c r="T86" s="216">
        <f t="shared" si="70"/>
        <v>5</v>
      </c>
      <c r="U86" s="218">
        <f t="shared" si="71"/>
        <v>0</v>
      </c>
      <c r="V86" s="207">
        <f t="shared" si="72"/>
        <v>8.4</v>
      </c>
      <c r="W86" s="217">
        <f t="shared" si="73"/>
        <v>0</v>
      </c>
    </row>
    <row r="87" spans="1:23" ht="15" x14ac:dyDescent="0.25">
      <c r="A87" s="219" t="s">
        <v>18</v>
      </c>
      <c r="B87" s="209">
        <v>0.1</v>
      </c>
      <c r="C87" s="220">
        <f>B12</f>
        <v>100</v>
      </c>
      <c r="D87" s="219">
        <f>B19</f>
        <v>200</v>
      </c>
      <c r="E87" s="219">
        <f>B26</f>
        <v>400</v>
      </c>
      <c r="F87" s="219">
        <f>B33</f>
        <v>600</v>
      </c>
      <c r="G87" s="219">
        <f>B40</f>
        <v>800</v>
      </c>
      <c r="H87" s="219">
        <f>B47</f>
        <v>1000</v>
      </c>
      <c r="I87" s="219">
        <f>B54</f>
        <v>1100</v>
      </c>
      <c r="J87" s="207">
        <f t="shared" ref="J87:J93" si="74">H87*10</f>
        <v>10000</v>
      </c>
      <c r="L87" s="219"/>
      <c r="M87" s="219"/>
      <c r="N87" s="219"/>
      <c r="O87" s="219"/>
      <c r="T87" s="216">
        <f t="shared" si="70"/>
        <v>8</v>
      </c>
      <c r="U87" s="218">
        <f t="shared" si="71"/>
        <v>0</v>
      </c>
      <c r="V87" s="207">
        <f t="shared" si="72"/>
        <v>14.4</v>
      </c>
      <c r="W87" s="217">
        <f t="shared" si="73"/>
        <v>0</v>
      </c>
    </row>
    <row r="88" spans="1:23" ht="15" x14ac:dyDescent="0.25">
      <c r="A88" s="215">
        <f>AA4</f>
        <v>0</v>
      </c>
      <c r="B88" s="209">
        <f t="shared" ref="B88:B93" si="75">$Q$7</f>
        <v>0.22999999999999998</v>
      </c>
      <c r="C88" s="214">
        <f>F12</f>
        <v>2.27</v>
      </c>
      <c r="D88" s="212">
        <f>F19</f>
        <v>3.37</v>
      </c>
      <c r="E88" s="212">
        <f t="shared" ref="E88:E93" si="76">F26</f>
        <v>7.8990322580645156</v>
      </c>
      <c r="F88" s="212">
        <f t="shared" ref="F88:F93" si="77">F33</f>
        <v>16.028064516129032</v>
      </c>
      <c r="G88" s="212">
        <f t="shared" ref="G88:G93" si="78">F40</f>
        <v>18.350645161290323</v>
      </c>
      <c r="H88" s="212">
        <f t="shared" ref="H88:H93" si="79">F47</f>
        <v>24.77</v>
      </c>
      <c r="I88" s="212">
        <f t="shared" ref="I88:I93" si="80">F54</f>
        <v>28.57</v>
      </c>
      <c r="J88" s="207">
        <f t="shared" si="74"/>
        <v>247.7</v>
      </c>
      <c r="K88" s="213">
        <f t="shared" ref="K88:K93" ca="1" si="81">_xlfn.FORECAST.LINEAR(__RPM1,OFFSET(B88:H88,0,MATCH(__RPM1,$B$87:$H$87,1)-1,1,2),OFFSET($B$87:$H$87,0,MATCH(__RPM1,$B$87:$H$87,1)-1,1,2))</f>
        <v>3.0807285003180702</v>
      </c>
      <c r="L88" s="212"/>
      <c r="M88" s="212"/>
      <c r="N88" s="212"/>
      <c r="O88" s="212"/>
      <c r="T88" s="216">
        <f t="shared" si="70"/>
        <v>15</v>
      </c>
      <c r="U88" s="218">
        <f t="shared" si="71"/>
        <v>0</v>
      </c>
      <c r="V88" s="207">
        <f t="shared" si="72"/>
        <v>27.6</v>
      </c>
      <c r="W88" s="217">
        <f t="shared" si="73"/>
        <v>0</v>
      </c>
    </row>
    <row r="89" spans="1:23" ht="15" x14ac:dyDescent="0.25">
      <c r="A89" s="215">
        <f>AA5</f>
        <v>100</v>
      </c>
      <c r="B89" s="209">
        <f t="shared" si="75"/>
        <v>0.22999999999999998</v>
      </c>
      <c r="C89" s="214">
        <f>E13</f>
        <v>5</v>
      </c>
      <c r="D89" s="212">
        <f>E20</f>
        <v>8.4</v>
      </c>
      <c r="E89" s="212">
        <f t="shared" si="76"/>
        <v>16.133636363636363</v>
      </c>
      <c r="F89" s="212">
        <f t="shared" si="77"/>
        <v>28.57</v>
      </c>
      <c r="G89" s="212">
        <f t="shared" si="78"/>
        <v>33.447419354838715</v>
      </c>
      <c r="H89" s="212">
        <f t="shared" si="79"/>
        <v>37.951818181818183</v>
      </c>
      <c r="I89" s="212">
        <f t="shared" si="80"/>
        <v>42.737741935483875</v>
      </c>
      <c r="J89" s="207">
        <f t="shared" si="74"/>
        <v>379.5181818181818</v>
      </c>
      <c r="K89" s="213">
        <f t="shared" ca="1" si="81"/>
        <v>7.5058880918922153</v>
      </c>
      <c r="L89" s="212"/>
      <c r="M89" s="212"/>
      <c r="N89" s="212"/>
      <c r="O89" s="212"/>
      <c r="T89" s="216">
        <f t="shared" si="70"/>
        <v>22.000000000000004</v>
      </c>
      <c r="U89" s="218">
        <f t="shared" si="71"/>
        <v>0</v>
      </c>
      <c r="V89" s="207">
        <f t="shared" si="72"/>
        <v>42</v>
      </c>
      <c r="W89" s="217">
        <f t="shared" si="73"/>
        <v>0</v>
      </c>
    </row>
    <row r="90" spans="1:23" ht="15" x14ac:dyDescent="0.25">
      <c r="A90" s="215">
        <f>AA6</f>
        <v>250</v>
      </c>
      <c r="B90" s="209">
        <f t="shared" si="75"/>
        <v>0.22999999999999998</v>
      </c>
      <c r="C90" s="214">
        <f>E14</f>
        <v>8</v>
      </c>
      <c r="D90" s="212">
        <f>E21</f>
        <v>14.4</v>
      </c>
      <c r="E90" s="212">
        <f t="shared" si="76"/>
        <v>27.37</v>
      </c>
      <c r="F90" s="212">
        <f t="shared" si="77"/>
        <v>41.576451612903227</v>
      </c>
      <c r="G90" s="212">
        <f t="shared" si="78"/>
        <v>52.028064516129035</v>
      </c>
      <c r="H90" s="212">
        <f t="shared" si="79"/>
        <v>62.17</v>
      </c>
      <c r="I90" s="212">
        <f t="shared" si="80"/>
        <v>69.36999999999999</v>
      </c>
      <c r="J90" s="207">
        <f t="shared" si="74"/>
        <v>621.70000000000005</v>
      </c>
      <c r="K90" s="213">
        <f t="shared" ca="1" si="81"/>
        <v>12.716965820032405</v>
      </c>
      <c r="L90" s="212"/>
      <c r="M90" s="212"/>
      <c r="N90" s="212"/>
      <c r="O90" s="212"/>
      <c r="T90" s="216">
        <f t="shared" si="70"/>
        <v>31</v>
      </c>
      <c r="U90" s="218">
        <f t="shared" si="71"/>
        <v>0</v>
      </c>
      <c r="V90" s="207">
        <f t="shared" si="72"/>
        <v>61.2</v>
      </c>
      <c r="W90" s="217">
        <f t="shared" si="73"/>
        <v>0</v>
      </c>
    </row>
    <row r="91" spans="1:23" ht="15" x14ac:dyDescent="0.25">
      <c r="A91" s="215">
        <f>AA7</f>
        <v>500</v>
      </c>
      <c r="B91" s="209">
        <f t="shared" si="75"/>
        <v>0.22999999999999998</v>
      </c>
      <c r="C91" s="214">
        <f>E15</f>
        <v>15</v>
      </c>
      <c r="D91" s="212">
        <f>E22</f>
        <v>27.6</v>
      </c>
      <c r="E91" s="212">
        <f t="shared" si="76"/>
        <v>46.57</v>
      </c>
      <c r="F91" s="212">
        <f t="shared" si="77"/>
        <v>64.569999999999993</v>
      </c>
      <c r="G91" s="212">
        <f t="shared" si="78"/>
        <v>82.57</v>
      </c>
      <c r="H91" s="212">
        <f t="shared" si="79"/>
        <v>101.38290322580644</v>
      </c>
      <c r="I91" s="212">
        <f t="shared" si="80"/>
        <v>112.57</v>
      </c>
      <c r="J91" s="207">
        <f t="shared" si="74"/>
        <v>1013.8290322580644</v>
      </c>
      <c r="K91" s="213">
        <f t="shared" ca="1" si="81"/>
        <v>24.286526458188796</v>
      </c>
      <c r="L91" s="212"/>
      <c r="M91" s="212"/>
      <c r="N91" s="212"/>
      <c r="O91" s="212"/>
      <c r="T91" s="216"/>
      <c r="U91" s="216"/>
    </row>
    <row r="92" spans="1:23" ht="15" x14ac:dyDescent="0.25">
      <c r="A92" s="215">
        <f>AA8</f>
        <v>750</v>
      </c>
      <c r="B92" s="209">
        <f t="shared" si="75"/>
        <v>0.22999999999999998</v>
      </c>
      <c r="C92" s="214">
        <f>E16</f>
        <v>22.000000000000004</v>
      </c>
      <c r="D92" s="212">
        <f>E23</f>
        <v>42</v>
      </c>
      <c r="E92" s="212">
        <f t="shared" si="76"/>
        <v>68.49727272727273</v>
      </c>
      <c r="F92" s="212">
        <f t="shared" si="77"/>
        <v>93.588181818181809</v>
      </c>
      <c r="G92" s="212">
        <f t="shared" si="78"/>
        <v>119.38290322580644</v>
      </c>
      <c r="H92" s="212">
        <f t="shared" si="79"/>
        <v>137.77000000000001</v>
      </c>
      <c r="I92" s="212">
        <f t="shared" si="80"/>
        <v>153.37</v>
      </c>
      <c r="J92" s="207">
        <f t="shared" si="74"/>
        <v>1377.7</v>
      </c>
      <c r="K92" s="213">
        <f t="shared" ca="1" si="81"/>
        <v>36.740518187601268</v>
      </c>
      <c r="L92" s="212"/>
      <c r="M92" s="212"/>
      <c r="N92" s="212"/>
      <c r="O92" s="212"/>
    </row>
    <row r="93" spans="1:23" ht="15" x14ac:dyDescent="0.25">
      <c r="A93" s="215">
        <f>AA9+0.1</f>
        <v>1000.1</v>
      </c>
      <c r="B93" s="209">
        <f t="shared" si="75"/>
        <v>0.22999999999999998</v>
      </c>
      <c r="C93" s="214">
        <f>E17</f>
        <v>31</v>
      </c>
      <c r="D93" s="212">
        <f>E24</f>
        <v>61.2</v>
      </c>
      <c r="E93" s="212">
        <f t="shared" si="76"/>
        <v>90.350645161290316</v>
      </c>
      <c r="F93" s="212">
        <f t="shared" si="77"/>
        <v>119.77</v>
      </c>
      <c r="G93" s="212">
        <f t="shared" si="78"/>
        <v>148.4151612903226</v>
      </c>
      <c r="H93" s="212">
        <f t="shared" si="79"/>
        <v>182.09258064516129</v>
      </c>
      <c r="I93" s="212">
        <f t="shared" si="80"/>
        <v>178.57000000000002</v>
      </c>
      <c r="J93" s="207">
        <f t="shared" si="74"/>
        <v>1820.925806451613</v>
      </c>
      <c r="K93" s="213">
        <f t="shared" ca="1" si="81"/>
        <v>53.258182463277912</v>
      </c>
      <c r="L93" s="212"/>
      <c r="M93" s="212"/>
      <c r="N93" s="212"/>
      <c r="O93" s="212"/>
    </row>
    <row r="96" spans="1:23" x14ac:dyDescent="0.2">
      <c r="A96" s="207" t="s">
        <v>360</v>
      </c>
      <c r="B96" s="211">
        <f>B84</f>
        <v>173.70259093800632</v>
      </c>
      <c r="C96" s="207" t="s">
        <v>18</v>
      </c>
    </row>
    <row r="97" spans="1:3" x14ac:dyDescent="0.2">
      <c r="A97" s="207" t="s">
        <v>361</v>
      </c>
      <c r="B97" s="211">
        <f>B81</f>
        <v>40</v>
      </c>
      <c r="C97" s="207" t="s">
        <v>97</v>
      </c>
    </row>
    <row r="98" spans="1:3" x14ac:dyDescent="0.2">
      <c r="A98" s="207" t="s">
        <v>362</v>
      </c>
      <c r="B98" s="210">
        <f ca="1">_xlfn.FORECAST.LINEAR(Press1,OFFSET(K88:K93,MATCH(Press1,A88:A93,1)-1,0,2),OFFSET(A88:A93,MATCH(Press1,A88:A93,1)-1,0,2))</f>
        <v>4.8507923369477286</v>
      </c>
      <c r="C98" s="207" t="s">
        <v>19</v>
      </c>
    </row>
  </sheetData>
  <mergeCells count="7">
    <mergeCell ref="A2:S2"/>
    <mergeCell ref="C9:E9"/>
    <mergeCell ref="G9:O9"/>
    <mergeCell ref="S9:U9"/>
    <mergeCell ref="G10:I10"/>
    <mergeCell ref="J10:L10"/>
    <mergeCell ref="M10:O10"/>
  </mergeCells>
  <pageMargins left="0.70866141732283472" right="0.70866141732283472" top="0.74803149606299213" bottom="0.74803149606299213" header="0.31496062992125984" footer="0.31496062992125984"/>
  <pageSetup scale="63" orientation="landscape" r:id="rId1"/>
  <rowBreaks count="1" manualBreakCount="1">
    <brk id="55" max="1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8F6F2-14EE-4E64-A0E9-99899FE275A7}">
  <sheetPr codeName="Sheet14">
    <tabColor rgb="FF92D050"/>
  </sheetPr>
  <dimension ref="A1:AH98"/>
  <sheetViews>
    <sheetView topLeftCell="A60" zoomScale="70" zoomScaleNormal="70" workbookViewId="0">
      <selection activeCell="A101" sqref="A101"/>
    </sheetView>
  </sheetViews>
  <sheetFormatPr defaultColWidth="9.140625" defaultRowHeight="15" x14ac:dyDescent="0.25"/>
  <cols>
    <col min="1" max="1" width="14.7109375" style="286" customWidth="1"/>
    <col min="2" max="2" width="11.28515625" style="288" customWidth="1"/>
    <col min="3" max="3" width="12.42578125" style="286" customWidth="1"/>
    <col min="4" max="4" width="19.140625" style="286" customWidth="1"/>
    <col min="5" max="5" width="13.7109375" style="286" customWidth="1"/>
    <col min="6" max="6" width="14.85546875" style="286" customWidth="1"/>
    <col min="7" max="7" width="13.140625" style="286" customWidth="1"/>
    <col min="8" max="8" width="9.140625" style="286"/>
    <col min="9" max="9" width="15.28515625" style="286" customWidth="1"/>
    <col min="10" max="15" width="9.140625" style="286"/>
    <col min="16" max="16" width="12.140625" style="286" customWidth="1"/>
    <col min="17" max="17" width="10.5703125" style="286" customWidth="1"/>
    <col min="18" max="18" width="12" style="286" customWidth="1"/>
    <col min="19" max="19" width="9.140625" style="286" customWidth="1"/>
    <col min="20" max="20" width="9.140625" style="287"/>
    <col min="21" max="24" width="9.140625" style="286"/>
    <col min="25" max="25" width="12.28515625" style="286" bestFit="1" customWidth="1"/>
    <col min="26" max="16384" width="9.140625" style="286"/>
  </cols>
  <sheetData>
    <row r="1" spans="1:34" x14ac:dyDescent="0.25">
      <c r="B1" s="293" t="s">
        <v>305</v>
      </c>
      <c r="C1" s="326">
        <v>45769</v>
      </c>
      <c r="D1" s="312" t="s">
        <v>381</v>
      </c>
      <c r="E1" s="291"/>
      <c r="F1" s="291"/>
    </row>
    <row r="2" spans="1:34" ht="25.5" customHeight="1" x14ac:dyDescent="0.35">
      <c r="A2" s="401" t="s">
        <v>382</v>
      </c>
      <c r="B2" s="401"/>
      <c r="C2" s="401"/>
      <c r="D2" s="401"/>
      <c r="E2" s="401"/>
      <c r="F2" s="401"/>
      <c r="G2" s="401"/>
      <c r="H2" s="401"/>
      <c r="I2" s="401"/>
      <c r="J2" s="401"/>
      <c r="K2" s="401"/>
      <c r="L2" s="401"/>
      <c r="M2" s="401"/>
      <c r="N2" s="401"/>
      <c r="O2" s="401"/>
      <c r="P2" s="401"/>
      <c r="Q2" s="401"/>
      <c r="R2" s="401"/>
      <c r="S2" s="401"/>
      <c r="T2" s="286"/>
    </row>
    <row r="3" spans="1:34" x14ac:dyDescent="0.25">
      <c r="A3" s="234" t="s">
        <v>311</v>
      </c>
      <c r="B3" s="235"/>
      <c r="C3" s="284" t="s">
        <v>364</v>
      </c>
      <c r="D3" s="234"/>
      <c r="E3" s="234"/>
      <c r="F3" s="234"/>
      <c r="G3" s="325"/>
      <c r="H3" s="291"/>
      <c r="P3" s="223"/>
      <c r="R3" s="223"/>
      <c r="S3" s="223"/>
      <c r="T3" s="286"/>
      <c r="Z3" s="234" t="s">
        <v>309</v>
      </c>
      <c r="AA3" s="223" t="s">
        <v>310</v>
      </c>
    </row>
    <row r="4" spans="1:34" x14ac:dyDescent="0.25">
      <c r="A4" s="235" t="s">
        <v>313</v>
      </c>
      <c r="B4" s="235"/>
      <c r="C4" s="281">
        <v>0.375</v>
      </c>
      <c r="D4" s="235"/>
      <c r="E4" s="235"/>
      <c r="F4" s="235"/>
      <c r="G4" s="274" t="s">
        <v>314</v>
      </c>
      <c r="H4" s="323" t="s">
        <v>315</v>
      </c>
      <c r="I4" s="323"/>
      <c r="J4" s="323"/>
      <c r="K4" s="323"/>
      <c r="L4" s="323"/>
      <c r="M4" s="323"/>
      <c r="N4" s="323"/>
      <c r="O4" s="323"/>
      <c r="P4" s="323"/>
      <c r="Q4" s="280" t="s">
        <v>19</v>
      </c>
      <c r="R4" s="282"/>
      <c r="S4" s="280"/>
      <c r="T4" s="324"/>
      <c r="U4" s="323"/>
      <c r="V4" s="234"/>
      <c r="Z4" s="234">
        <f>1000*0.1</f>
        <v>100</v>
      </c>
      <c r="AA4" s="274">
        <v>0</v>
      </c>
    </row>
    <row r="5" spans="1:34" x14ac:dyDescent="0.25">
      <c r="A5" s="235" t="s">
        <v>317</v>
      </c>
      <c r="B5" s="235"/>
      <c r="C5" s="281">
        <v>25.4</v>
      </c>
      <c r="D5" s="235"/>
      <c r="E5" s="235"/>
      <c r="F5" s="235"/>
      <c r="G5" s="268" t="s">
        <v>318</v>
      </c>
      <c r="H5" s="312">
        <v>73.5</v>
      </c>
      <c r="I5" s="277"/>
      <c r="J5" s="277"/>
      <c r="K5" s="277"/>
      <c r="L5" s="277"/>
      <c r="M5" s="277"/>
      <c r="N5" s="277"/>
      <c r="O5" s="277"/>
      <c r="P5" s="277"/>
      <c r="Q5" s="323">
        <f>H5/1000*25</f>
        <v>1.8374999999999999</v>
      </c>
      <c r="R5" s="279" t="s">
        <v>319</v>
      </c>
      <c r="S5" s="323"/>
      <c r="T5" s="324"/>
      <c r="U5" s="323"/>
      <c r="V5" s="234"/>
      <c r="Z5" s="234">
        <f>1000*0.2</f>
        <v>200</v>
      </c>
      <c r="AA5" s="274">
        <v>100</v>
      </c>
      <c r="AC5" s="286" t="s">
        <v>316</v>
      </c>
    </row>
    <row r="6" spans="1:34" x14ac:dyDescent="0.25">
      <c r="A6" s="235" t="s">
        <v>320</v>
      </c>
      <c r="B6" s="235"/>
      <c r="C6" s="281">
        <f>0.15-0.014</f>
        <v>0.13599999999999998</v>
      </c>
      <c r="D6" s="235"/>
      <c r="E6" s="235"/>
      <c r="F6" s="235"/>
      <c r="G6" s="274" t="s">
        <v>321</v>
      </c>
      <c r="H6" s="312">
        <v>64.3</v>
      </c>
      <c r="I6" s="277"/>
      <c r="J6" s="277"/>
      <c r="K6" s="277"/>
      <c r="L6" s="277"/>
      <c r="M6" s="277"/>
      <c r="N6" s="277"/>
      <c r="O6" s="277"/>
      <c r="P6" s="277"/>
      <c r="Q6" s="323">
        <f>H6/1000*25</f>
        <v>1.6074999999999999</v>
      </c>
      <c r="R6" s="279" t="s">
        <v>319</v>
      </c>
      <c r="S6" s="323"/>
      <c r="T6" s="324"/>
      <c r="U6" s="323"/>
      <c r="V6" s="234"/>
      <c r="Z6" s="234">
        <f>1000*0.4</f>
        <v>400</v>
      </c>
      <c r="AA6" s="274">
        <v>500</v>
      </c>
      <c r="AC6" s="286">
        <v>250</v>
      </c>
    </row>
    <row r="7" spans="1:34" x14ac:dyDescent="0.25">
      <c r="A7" s="260" t="s">
        <v>322</v>
      </c>
      <c r="B7" s="235"/>
      <c r="C7" s="281" t="s">
        <v>395</v>
      </c>
      <c r="D7" s="235"/>
      <c r="E7" s="235"/>
      <c r="F7" s="235"/>
      <c r="H7" s="323"/>
      <c r="I7" s="323"/>
      <c r="J7" s="323"/>
      <c r="K7" s="323"/>
      <c r="L7" s="323"/>
      <c r="M7" s="323"/>
      <c r="N7" s="323"/>
      <c r="O7" s="323"/>
      <c r="P7" s="323" t="s">
        <v>324</v>
      </c>
      <c r="Q7" s="280">
        <f>Q5-Q6</f>
        <v>0.22999999999999998</v>
      </c>
      <c r="R7" s="280" t="s">
        <v>19</v>
      </c>
      <c r="S7" s="279" t="s">
        <v>325</v>
      </c>
      <c r="T7" s="324"/>
      <c r="U7" s="323"/>
      <c r="V7" s="234"/>
      <c r="Z7" s="234">
        <f>1000*0.6</f>
        <v>600</v>
      </c>
      <c r="AA7" s="274">
        <v>1000</v>
      </c>
    </row>
    <row r="8" spans="1:34" ht="15.75" thickBot="1" x14ac:dyDescent="0.3">
      <c r="A8" s="260" t="s">
        <v>326</v>
      </c>
      <c r="B8" s="235"/>
      <c r="C8" s="276" t="s">
        <v>327</v>
      </c>
      <c r="D8" s="260"/>
      <c r="E8" s="260"/>
      <c r="F8" s="260"/>
      <c r="G8" s="286" t="s">
        <v>328</v>
      </c>
      <c r="Q8" s="263"/>
      <c r="R8" s="263"/>
      <c r="S8" s="263"/>
      <c r="T8" s="322"/>
      <c r="V8" s="275"/>
      <c r="Z8" s="234">
        <f>1000*0.8</f>
        <v>800</v>
      </c>
      <c r="AA8" s="274">
        <v>2000</v>
      </c>
    </row>
    <row r="9" spans="1:34" x14ac:dyDescent="0.25">
      <c r="A9" s="234" t="s">
        <v>205</v>
      </c>
      <c r="C9" s="402" t="s">
        <v>329</v>
      </c>
      <c r="D9" s="403"/>
      <c r="E9" s="404"/>
      <c r="F9" s="234"/>
      <c r="G9" s="402" t="s">
        <v>330</v>
      </c>
      <c r="H9" s="405"/>
      <c r="I9" s="405"/>
      <c r="J9" s="405"/>
      <c r="K9" s="405"/>
      <c r="L9" s="405"/>
      <c r="M9" s="405"/>
      <c r="N9" s="405"/>
      <c r="O9" s="406"/>
      <c r="P9" s="273" t="s">
        <v>331</v>
      </c>
      <c r="Q9" s="272" t="s">
        <v>332</v>
      </c>
      <c r="R9" s="271" t="s">
        <v>333</v>
      </c>
      <c r="S9" s="407"/>
      <c r="T9" s="410"/>
      <c r="U9" s="410"/>
      <c r="V9" s="321"/>
      <c r="W9" s="320" t="s">
        <v>334</v>
      </c>
      <c r="Z9" s="234">
        <v>1000</v>
      </c>
      <c r="AA9" s="268">
        <v>3000</v>
      </c>
      <c r="AG9" s="286">
        <v>10</v>
      </c>
      <c r="AH9" s="286">
        <f>AG9/400*600</f>
        <v>15</v>
      </c>
    </row>
    <row r="10" spans="1:34" x14ac:dyDescent="0.25">
      <c r="A10" s="234"/>
      <c r="C10" s="267"/>
      <c r="D10" s="263"/>
      <c r="E10" s="263"/>
      <c r="F10" s="235"/>
      <c r="G10" s="409" t="s">
        <v>384</v>
      </c>
      <c r="H10" s="403"/>
      <c r="I10" s="404"/>
      <c r="J10" s="409" t="s">
        <v>385</v>
      </c>
      <c r="K10" s="403"/>
      <c r="L10" s="404"/>
      <c r="M10" s="409" t="s">
        <v>386</v>
      </c>
      <c r="N10" s="403"/>
      <c r="O10" s="404"/>
      <c r="P10" s="266" t="s">
        <v>387</v>
      </c>
      <c r="Q10" s="263"/>
      <c r="R10" s="223"/>
      <c r="S10" s="263"/>
      <c r="T10" s="288"/>
      <c r="U10" s="288"/>
      <c r="V10" s="319"/>
      <c r="W10" s="318"/>
      <c r="Z10" s="234">
        <v>1100</v>
      </c>
      <c r="AA10" s="223"/>
    </row>
    <row r="11" spans="1:34" ht="15.75" thickBot="1" x14ac:dyDescent="0.3">
      <c r="A11" s="235" t="s">
        <v>8</v>
      </c>
      <c r="B11" s="235" t="s">
        <v>18</v>
      </c>
      <c r="C11" s="260" t="s">
        <v>335</v>
      </c>
      <c r="D11" s="263" t="s">
        <v>365</v>
      </c>
      <c r="E11" s="262" t="s">
        <v>19</v>
      </c>
      <c r="F11" s="261" t="s">
        <v>337</v>
      </c>
      <c r="G11" s="250" t="s">
        <v>388</v>
      </c>
      <c r="H11" s="260" t="s">
        <v>339</v>
      </c>
      <c r="I11" s="260" t="s">
        <v>389</v>
      </c>
      <c r="J11" s="250" t="s">
        <v>388</v>
      </c>
      <c r="K11" s="260" t="s">
        <v>339</v>
      </c>
      <c r="L11" s="260" t="s">
        <v>389</v>
      </c>
      <c r="M11" s="250" t="s">
        <v>388</v>
      </c>
      <c r="N11" s="260" t="s">
        <v>339</v>
      </c>
      <c r="O11" s="260" t="s">
        <v>389</v>
      </c>
      <c r="P11" s="259" t="s">
        <v>340</v>
      </c>
      <c r="Q11" s="258" t="s">
        <v>19</v>
      </c>
      <c r="R11" s="257" t="s">
        <v>341</v>
      </c>
      <c r="S11" s="257"/>
      <c r="T11" s="256" t="s">
        <v>342</v>
      </c>
      <c r="U11" s="255"/>
      <c r="V11" s="317" t="s">
        <v>343</v>
      </c>
      <c r="W11" s="253" t="s">
        <v>344</v>
      </c>
      <c r="X11" s="249"/>
      <c r="Y11" s="248" t="s">
        <v>390</v>
      </c>
      <c r="AG11" s="286">
        <v>50</v>
      </c>
      <c r="AH11" s="286">
        <f>AG11/400*600</f>
        <v>75</v>
      </c>
    </row>
    <row r="12" spans="1:34" x14ac:dyDescent="0.25">
      <c r="A12" s="244">
        <f t="shared" ref="A12:A17" si="0">AA4</f>
        <v>0</v>
      </c>
      <c r="B12" s="235">
        <v>100</v>
      </c>
      <c r="C12" s="312">
        <v>200</v>
      </c>
      <c r="D12" s="312">
        <v>300</v>
      </c>
      <c r="E12" s="311">
        <f t="shared" ref="E12:E17" si="1">C12/1000*3600/D12</f>
        <v>2.4</v>
      </c>
      <c r="F12" s="310">
        <f t="shared" ref="F12:F17" si="2">E12-$Q$7</f>
        <v>2.17</v>
      </c>
      <c r="G12" s="240">
        <v>60</v>
      </c>
      <c r="H12" s="240">
        <v>34</v>
      </c>
      <c r="I12" s="239">
        <f t="shared" ref="I12:I17" si="3">IF(AND(G12&gt;0,H12&gt;0), H12/(G12/60), 0)</f>
        <v>34</v>
      </c>
      <c r="J12" s="240">
        <v>60</v>
      </c>
      <c r="K12" s="240">
        <v>34</v>
      </c>
      <c r="L12" s="239">
        <f t="shared" ref="L12:L17" si="4">IF(AND(J12&gt;0,K12&gt;0), K12/(J12/60), 0)</f>
        <v>34</v>
      </c>
      <c r="M12" s="240">
        <v>60</v>
      </c>
      <c r="N12" s="240">
        <v>45</v>
      </c>
      <c r="O12" s="239">
        <f t="shared" ref="O12:O17" si="5">IF(AND(M12&gt;0,N12&gt;0), N12/(M12/60), 0)</f>
        <v>45</v>
      </c>
      <c r="P12" s="309">
        <f t="shared" ref="P12:P17" si="6">60*H12/G12</f>
        <v>34</v>
      </c>
      <c r="Q12" s="237">
        <f t="shared" ref="Q12:Q17" si="7">P12/100*A12/100*0.8</f>
        <v>0</v>
      </c>
      <c r="R12" s="308">
        <f t="shared" ref="R12:R17" si="8">Q12/E12</f>
        <v>0</v>
      </c>
      <c r="S12" s="293"/>
      <c r="T12" s="307"/>
      <c r="U12" s="306"/>
      <c r="V12" s="315">
        <f t="shared" ref="V12:V17" si="9">B12/AC$6</f>
        <v>0.4</v>
      </c>
      <c r="W12" s="291"/>
      <c r="X12" s="249"/>
      <c r="Y12" s="248" t="s">
        <v>391</v>
      </c>
      <c r="Z12" s="248"/>
    </row>
    <row r="13" spans="1:34" x14ac:dyDescent="0.25">
      <c r="A13" s="244">
        <f t="shared" si="0"/>
        <v>100</v>
      </c>
      <c r="B13" s="235">
        <v>100</v>
      </c>
      <c r="C13" s="312">
        <v>250</v>
      </c>
      <c r="D13" s="312">
        <v>300</v>
      </c>
      <c r="E13" s="311">
        <f t="shared" si="1"/>
        <v>3</v>
      </c>
      <c r="F13" s="310">
        <f t="shared" si="2"/>
        <v>2.77</v>
      </c>
      <c r="G13" s="240">
        <v>60</v>
      </c>
      <c r="H13" s="240">
        <v>34</v>
      </c>
      <c r="I13" s="239">
        <f t="shared" si="3"/>
        <v>34</v>
      </c>
      <c r="J13" s="240">
        <v>60</v>
      </c>
      <c r="K13" s="240">
        <v>33</v>
      </c>
      <c r="L13" s="239">
        <f t="shared" si="4"/>
        <v>33</v>
      </c>
      <c r="M13" s="240">
        <v>60</v>
      </c>
      <c r="N13" s="240">
        <v>34</v>
      </c>
      <c r="O13" s="239">
        <f t="shared" si="5"/>
        <v>34</v>
      </c>
      <c r="P13" s="309">
        <f t="shared" si="6"/>
        <v>34</v>
      </c>
      <c r="Q13" s="237">
        <f t="shared" si="7"/>
        <v>0.27200000000000002</v>
      </c>
      <c r="R13" s="308">
        <f t="shared" si="8"/>
        <v>9.0666666666666673E-2</v>
      </c>
      <c r="S13" s="293"/>
      <c r="T13" s="307">
        <f>P13/$P$13</f>
        <v>1</v>
      </c>
      <c r="U13" s="306"/>
      <c r="V13" s="315">
        <f t="shared" si="9"/>
        <v>0.4</v>
      </c>
      <c r="W13" s="291"/>
      <c r="Y13" s="207" t="s">
        <v>392</v>
      </c>
      <c r="AG13" s="286">
        <v>100</v>
      </c>
      <c r="AH13" s="286">
        <f>AG13/400*600</f>
        <v>150</v>
      </c>
    </row>
    <row r="14" spans="1:34" x14ac:dyDescent="0.25">
      <c r="A14" s="244">
        <f t="shared" si="0"/>
        <v>500</v>
      </c>
      <c r="B14" s="235">
        <v>100</v>
      </c>
      <c r="C14" s="312">
        <v>400</v>
      </c>
      <c r="D14" s="312">
        <v>300</v>
      </c>
      <c r="E14" s="311">
        <f t="shared" si="1"/>
        <v>4.8</v>
      </c>
      <c r="F14" s="310">
        <f t="shared" si="2"/>
        <v>4.57</v>
      </c>
      <c r="G14" s="240">
        <v>60</v>
      </c>
      <c r="H14" s="240">
        <v>33</v>
      </c>
      <c r="I14" s="239">
        <f t="shared" si="3"/>
        <v>33</v>
      </c>
      <c r="J14" s="240">
        <v>60</v>
      </c>
      <c r="K14" s="240">
        <v>33</v>
      </c>
      <c r="L14" s="239">
        <f t="shared" si="4"/>
        <v>33</v>
      </c>
      <c r="M14" s="240">
        <v>60</v>
      </c>
      <c r="N14" s="240">
        <v>33</v>
      </c>
      <c r="O14" s="239">
        <f t="shared" si="5"/>
        <v>33</v>
      </c>
      <c r="P14" s="309">
        <f t="shared" si="6"/>
        <v>33</v>
      </c>
      <c r="Q14" s="237">
        <f t="shared" si="7"/>
        <v>1.32</v>
      </c>
      <c r="R14" s="308">
        <f t="shared" si="8"/>
        <v>0.27500000000000002</v>
      </c>
      <c r="S14" s="293"/>
      <c r="T14" s="307">
        <f>P14/$P$13</f>
        <v>0.97058823529411764</v>
      </c>
      <c r="U14" s="306"/>
      <c r="V14" s="315">
        <f t="shared" si="9"/>
        <v>0.4</v>
      </c>
      <c r="W14" s="291"/>
      <c r="AG14" s="286">
        <v>200</v>
      </c>
      <c r="AH14" s="286">
        <f>AG14/400*600</f>
        <v>300</v>
      </c>
    </row>
    <row r="15" spans="1:34" x14ac:dyDescent="0.25">
      <c r="A15" s="244">
        <f t="shared" si="0"/>
        <v>1000</v>
      </c>
      <c r="B15" s="235">
        <v>100</v>
      </c>
      <c r="C15" s="312">
        <v>800</v>
      </c>
      <c r="D15" s="312">
        <v>300</v>
      </c>
      <c r="E15" s="311">
        <f t="shared" si="1"/>
        <v>9.6</v>
      </c>
      <c r="F15" s="310">
        <f t="shared" si="2"/>
        <v>9.3699999999999992</v>
      </c>
      <c r="G15" s="240">
        <v>60</v>
      </c>
      <c r="H15" s="240">
        <v>32</v>
      </c>
      <c r="I15" s="239">
        <f t="shared" si="3"/>
        <v>32</v>
      </c>
      <c r="J15" s="240">
        <v>60</v>
      </c>
      <c r="K15" s="240">
        <v>32</v>
      </c>
      <c r="L15" s="239">
        <f t="shared" si="4"/>
        <v>32</v>
      </c>
      <c r="M15" s="240">
        <v>60</v>
      </c>
      <c r="N15" s="240">
        <v>32</v>
      </c>
      <c r="O15" s="239">
        <f t="shared" si="5"/>
        <v>32</v>
      </c>
      <c r="P15" s="309">
        <f t="shared" si="6"/>
        <v>32</v>
      </c>
      <c r="Q15" s="237">
        <f t="shared" si="7"/>
        <v>2.5600000000000005</v>
      </c>
      <c r="R15" s="308">
        <f t="shared" si="8"/>
        <v>0.26666666666666672</v>
      </c>
      <c r="S15" s="293"/>
      <c r="T15" s="307">
        <f>P15/$P$13</f>
        <v>0.94117647058823528</v>
      </c>
      <c r="U15" s="306"/>
      <c r="V15" s="315">
        <f t="shared" si="9"/>
        <v>0.4</v>
      </c>
      <c r="W15" s="291"/>
      <c r="AG15" s="286">
        <v>300</v>
      </c>
      <c r="AH15" s="286">
        <f>AG15/400*600</f>
        <v>450</v>
      </c>
    </row>
    <row r="16" spans="1:34" x14ac:dyDescent="0.25">
      <c r="A16" s="244">
        <f t="shared" si="0"/>
        <v>2000</v>
      </c>
      <c r="B16" s="235">
        <v>100</v>
      </c>
      <c r="C16" s="312">
        <v>1450</v>
      </c>
      <c r="D16" s="312">
        <v>300</v>
      </c>
      <c r="E16" s="311">
        <f t="shared" si="1"/>
        <v>17.399999999999999</v>
      </c>
      <c r="F16" s="310">
        <f t="shared" si="2"/>
        <v>17.169999999999998</v>
      </c>
      <c r="G16" s="240">
        <v>60</v>
      </c>
      <c r="H16" s="240">
        <v>30</v>
      </c>
      <c r="I16" s="239">
        <f t="shared" si="3"/>
        <v>30</v>
      </c>
      <c r="J16" s="240">
        <v>60</v>
      </c>
      <c r="K16" s="240">
        <v>30</v>
      </c>
      <c r="L16" s="239">
        <f t="shared" si="4"/>
        <v>30</v>
      </c>
      <c r="M16" s="240">
        <v>60</v>
      </c>
      <c r="N16" s="240">
        <v>30</v>
      </c>
      <c r="O16" s="239">
        <f t="shared" si="5"/>
        <v>30</v>
      </c>
      <c r="P16" s="309">
        <f t="shared" si="6"/>
        <v>30</v>
      </c>
      <c r="Q16" s="237">
        <f t="shared" si="7"/>
        <v>4.8000000000000007</v>
      </c>
      <c r="R16" s="308">
        <f t="shared" si="8"/>
        <v>0.27586206896551729</v>
      </c>
      <c r="S16" s="293"/>
      <c r="T16" s="307">
        <f>P16/$P$13</f>
        <v>0.88235294117647056</v>
      </c>
      <c r="U16" s="306"/>
      <c r="V16" s="315">
        <f t="shared" si="9"/>
        <v>0.4</v>
      </c>
      <c r="W16" s="291"/>
      <c r="AG16" s="286">
        <v>400</v>
      </c>
      <c r="AH16" s="286">
        <f>AG16/400*600</f>
        <v>600</v>
      </c>
    </row>
    <row r="17" spans="1:34" x14ac:dyDescent="0.25">
      <c r="A17" s="244">
        <f t="shared" si="0"/>
        <v>3000</v>
      </c>
      <c r="B17" s="235">
        <v>100</v>
      </c>
      <c r="C17" s="312">
        <v>2800</v>
      </c>
      <c r="D17" s="312">
        <v>300</v>
      </c>
      <c r="E17" s="311">
        <f t="shared" si="1"/>
        <v>33.6</v>
      </c>
      <c r="F17" s="310">
        <f t="shared" si="2"/>
        <v>33.370000000000005</v>
      </c>
      <c r="G17" s="240">
        <v>60</v>
      </c>
      <c r="H17" s="240">
        <v>28</v>
      </c>
      <c r="I17" s="239">
        <f t="shared" si="3"/>
        <v>28</v>
      </c>
      <c r="J17" s="240">
        <v>60</v>
      </c>
      <c r="K17" s="240">
        <v>28</v>
      </c>
      <c r="L17" s="239">
        <f t="shared" si="4"/>
        <v>28</v>
      </c>
      <c r="M17" s="240">
        <v>60</v>
      </c>
      <c r="N17" s="240">
        <v>28</v>
      </c>
      <c r="O17" s="239">
        <f t="shared" si="5"/>
        <v>28</v>
      </c>
      <c r="P17" s="309">
        <f t="shared" si="6"/>
        <v>28</v>
      </c>
      <c r="Q17" s="237">
        <f t="shared" si="7"/>
        <v>6.7200000000000006</v>
      </c>
      <c r="R17" s="308">
        <f t="shared" si="8"/>
        <v>0.2</v>
      </c>
      <c r="S17" s="293"/>
      <c r="T17" s="307">
        <f>P17/$P$13</f>
        <v>0.82352941176470584</v>
      </c>
      <c r="U17" s="306"/>
      <c r="V17" s="315">
        <f t="shared" si="9"/>
        <v>0.4</v>
      </c>
      <c r="W17" s="291"/>
    </row>
    <row r="18" spans="1:34" x14ac:dyDescent="0.25">
      <c r="A18" s="244"/>
      <c r="B18" s="244"/>
      <c r="C18" s="312"/>
      <c r="D18" s="312"/>
      <c r="E18" s="311"/>
      <c r="F18" s="310"/>
      <c r="G18" s="240"/>
      <c r="H18" s="240"/>
      <c r="I18" s="250"/>
      <c r="J18" s="240"/>
      <c r="K18" s="240"/>
      <c r="L18" s="250"/>
      <c r="M18" s="240"/>
      <c r="N18" s="240"/>
      <c r="O18" s="250"/>
      <c r="P18" s="309"/>
      <c r="Q18" s="237"/>
      <c r="R18" s="293"/>
      <c r="S18" s="293"/>
      <c r="T18" s="307"/>
      <c r="U18" s="306"/>
      <c r="V18" s="316"/>
      <c r="W18" s="291"/>
    </row>
    <row r="19" spans="1:34" x14ac:dyDescent="0.25">
      <c r="A19" s="244">
        <f t="shared" ref="A19:A24" si="10">AA4</f>
        <v>0</v>
      </c>
      <c r="B19" s="244">
        <v>200</v>
      </c>
      <c r="C19" s="312">
        <v>400</v>
      </c>
      <c r="D19" s="312">
        <v>300</v>
      </c>
      <c r="E19" s="311">
        <f t="shared" ref="E19:E24" si="11">C19/1000*3600/D19</f>
        <v>4.8</v>
      </c>
      <c r="F19" s="310">
        <f t="shared" ref="F19:F24" si="12">E19-$Q$7</f>
        <v>4.57</v>
      </c>
      <c r="G19" s="240">
        <v>60</v>
      </c>
      <c r="H19" s="240">
        <v>69</v>
      </c>
      <c r="I19" s="239">
        <f t="shared" ref="I19:I24" si="13">IF(AND(G19&gt;0,H19&gt;0), H19/(G19/60), 0)</f>
        <v>69</v>
      </c>
      <c r="J19" s="240">
        <v>60</v>
      </c>
      <c r="K19" s="240">
        <v>69</v>
      </c>
      <c r="L19" s="239">
        <f t="shared" ref="L19:L24" si="14">IF(AND(J19&gt;0,K19&gt;0), K19/(J19/60), 0)</f>
        <v>69</v>
      </c>
      <c r="M19" s="240">
        <v>60</v>
      </c>
      <c r="N19" s="240">
        <v>69</v>
      </c>
      <c r="O19" s="239">
        <f t="shared" ref="O19:O24" si="15">IF(AND(M19&gt;0,N19&gt;0), N19/(M19/60), 0)</f>
        <v>69</v>
      </c>
      <c r="P19" s="309">
        <f t="shared" ref="P19:P24" si="16">60*H19/G19</f>
        <v>69</v>
      </c>
      <c r="Q19" s="237">
        <f t="shared" ref="Q19:Q24" si="17">P19/100*A19/100*0.8</f>
        <v>0</v>
      </c>
      <c r="R19" s="308">
        <f t="shared" ref="R19:R24" si="18">Q19/E19</f>
        <v>0</v>
      </c>
      <c r="S19" s="293"/>
      <c r="T19" s="307"/>
      <c r="U19" s="306"/>
      <c r="V19" s="315">
        <f t="shared" ref="V19:V24" si="19">B19/AC$6</f>
        <v>0.8</v>
      </c>
      <c r="W19" s="291"/>
      <c r="X19" s="249"/>
      <c r="Y19" s="248" t="s">
        <v>391</v>
      </c>
      <c r="Z19" s="248"/>
    </row>
    <row r="20" spans="1:34" x14ac:dyDescent="0.25">
      <c r="A20" s="244">
        <f t="shared" si="10"/>
        <v>100</v>
      </c>
      <c r="B20" s="244">
        <v>200</v>
      </c>
      <c r="C20" s="312">
        <v>450</v>
      </c>
      <c r="D20" s="312">
        <v>300</v>
      </c>
      <c r="E20" s="311">
        <f t="shared" si="11"/>
        <v>5.4</v>
      </c>
      <c r="F20" s="310">
        <f t="shared" si="12"/>
        <v>5.17</v>
      </c>
      <c r="G20" s="240">
        <v>60</v>
      </c>
      <c r="H20" s="240">
        <v>68</v>
      </c>
      <c r="I20" s="239">
        <f t="shared" si="13"/>
        <v>68</v>
      </c>
      <c r="J20" s="240">
        <v>60</v>
      </c>
      <c r="K20" s="240">
        <v>68</v>
      </c>
      <c r="L20" s="239">
        <f t="shared" si="14"/>
        <v>68</v>
      </c>
      <c r="M20" s="240">
        <v>60</v>
      </c>
      <c r="N20" s="240">
        <v>68</v>
      </c>
      <c r="O20" s="239">
        <f t="shared" si="15"/>
        <v>68</v>
      </c>
      <c r="P20" s="309">
        <f t="shared" si="16"/>
        <v>68</v>
      </c>
      <c r="Q20" s="237">
        <f t="shared" si="17"/>
        <v>0.54400000000000004</v>
      </c>
      <c r="R20" s="308">
        <f t="shared" si="18"/>
        <v>0.10074074074074074</v>
      </c>
      <c r="S20" s="293"/>
      <c r="T20" s="307">
        <f>P20/$P$20</f>
        <v>1</v>
      </c>
      <c r="U20" s="306"/>
      <c r="V20" s="315">
        <f t="shared" si="19"/>
        <v>0.8</v>
      </c>
      <c r="W20" s="291"/>
      <c r="Y20" s="207" t="s">
        <v>392</v>
      </c>
      <c r="AG20" s="286">
        <v>100</v>
      </c>
      <c r="AH20" s="286">
        <f>AG20/400*600</f>
        <v>150</v>
      </c>
    </row>
    <row r="21" spans="1:34" x14ac:dyDescent="0.25">
      <c r="A21" s="244">
        <f t="shared" si="10"/>
        <v>500</v>
      </c>
      <c r="B21" s="244">
        <v>200</v>
      </c>
      <c r="C21" s="312">
        <v>750</v>
      </c>
      <c r="D21" s="312">
        <v>300</v>
      </c>
      <c r="E21" s="311">
        <f t="shared" si="11"/>
        <v>9</v>
      </c>
      <c r="F21" s="310">
        <f t="shared" si="12"/>
        <v>8.77</v>
      </c>
      <c r="G21" s="240">
        <v>60</v>
      </c>
      <c r="H21" s="240">
        <v>66</v>
      </c>
      <c r="I21" s="239">
        <f t="shared" si="13"/>
        <v>66</v>
      </c>
      <c r="J21" s="240">
        <v>60</v>
      </c>
      <c r="K21" s="240">
        <v>66</v>
      </c>
      <c r="L21" s="239">
        <f t="shared" si="14"/>
        <v>66</v>
      </c>
      <c r="M21" s="240">
        <v>60</v>
      </c>
      <c r="N21" s="240">
        <v>66</v>
      </c>
      <c r="O21" s="239">
        <f t="shared" si="15"/>
        <v>66</v>
      </c>
      <c r="P21" s="309">
        <f t="shared" si="16"/>
        <v>66</v>
      </c>
      <c r="Q21" s="237">
        <f t="shared" si="17"/>
        <v>2.64</v>
      </c>
      <c r="R21" s="308">
        <f t="shared" si="18"/>
        <v>0.29333333333333333</v>
      </c>
      <c r="S21" s="293"/>
      <c r="T21" s="307">
        <f>P21/$P$20</f>
        <v>0.97058823529411764</v>
      </c>
      <c r="U21" s="306"/>
      <c r="V21" s="315">
        <f t="shared" si="19"/>
        <v>0.8</v>
      </c>
      <c r="W21" s="291"/>
      <c r="AG21" s="286">
        <v>200</v>
      </c>
      <c r="AH21" s="286">
        <f>AG21/400*600</f>
        <v>300</v>
      </c>
    </row>
    <row r="22" spans="1:34" x14ac:dyDescent="0.25">
      <c r="A22" s="244">
        <f t="shared" si="10"/>
        <v>1000</v>
      </c>
      <c r="B22" s="244">
        <v>200</v>
      </c>
      <c r="C22" s="312">
        <v>1500</v>
      </c>
      <c r="D22" s="312">
        <v>330</v>
      </c>
      <c r="E22" s="311">
        <f t="shared" si="11"/>
        <v>16.363636363636363</v>
      </c>
      <c r="F22" s="310">
        <f t="shared" si="12"/>
        <v>16.133636363636363</v>
      </c>
      <c r="G22" s="240">
        <v>60</v>
      </c>
      <c r="H22" s="240">
        <v>64</v>
      </c>
      <c r="I22" s="239">
        <f t="shared" si="13"/>
        <v>64</v>
      </c>
      <c r="J22" s="240">
        <v>60</v>
      </c>
      <c r="K22" s="240">
        <v>64</v>
      </c>
      <c r="L22" s="239">
        <f t="shared" si="14"/>
        <v>64</v>
      </c>
      <c r="M22" s="240">
        <v>60</v>
      </c>
      <c r="N22" s="240">
        <v>64</v>
      </c>
      <c r="O22" s="239">
        <f t="shared" si="15"/>
        <v>64</v>
      </c>
      <c r="P22" s="309">
        <f t="shared" si="16"/>
        <v>64</v>
      </c>
      <c r="Q22" s="237">
        <f t="shared" si="17"/>
        <v>5.120000000000001</v>
      </c>
      <c r="R22" s="308">
        <f t="shared" si="18"/>
        <v>0.31288888888888894</v>
      </c>
      <c r="S22" s="293"/>
      <c r="T22" s="307">
        <f>P22/$P$20</f>
        <v>0.94117647058823528</v>
      </c>
      <c r="U22" s="306"/>
      <c r="V22" s="315">
        <f t="shared" si="19"/>
        <v>0.8</v>
      </c>
      <c r="W22" s="291"/>
      <c r="AG22" s="286">
        <v>300</v>
      </c>
      <c r="AH22" s="286">
        <f>AG22/400*600</f>
        <v>450</v>
      </c>
    </row>
    <row r="23" spans="1:34" x14ac:dyDescent="0.25">
      <c r="A23" s="244">
        <f t="shared" si="10"/>
        <v>2000</v>
      </c>
      <c r="B23" s="244">
        <v>200</v>
      </c>
      <c r="C23" s="312">
        <v>3300</v>
      </c>
      <c r="D23" s="312">
        <v>310</v>
      </c>
      <c r="E23" s="311">
        <f t="shared" si="11"/>
        <v>38.322580645161288</v>
      </c>
      <c r="F23" s="310">
        <f t="shared" si="12"/>
        <v>38.092580645161291</v>
      </c>
      <c r="G23" s="240">
        <v>60</v>
      </c>
      <c r="H23" s="240">
        <v>62</v>
      </c>
      <c r="I23" s="239">
        <f t="shared" si="13"/>
        <v>62</v>
      </c>
      <c r="J23" s="240">
        <v>60</v>
      </c>
      <c r="K23" s="240">
        <v>62</v>
      </c>
      <c r="L23" s="239">
        <f t="shared" si="14"/>
        <v>62</v>
      </c>
      <c r="M23" s="240">
        <v>60</v>
      </c>
      <c r="N23" s="240">
        <v>62</v>
      </c>
      <c r="O23" s="239">
        <f t="shared" si="15"/>
        <v>62</v>
      </c>
      <c r="P23" s="309">
        <f t="shared" si="16"/>
        <v>62</v>
      </c>
      <c r="Q23" s="237">
        <f t="shared" si="17"/>
        <v>9.9200000000000017</v>
      </c>
      <c r="R23" s="308">
        <f t="shared" si="18"/>
        <v>0.25885521885521889</v>
      </c>
      <c r="S23" s="293"/>
      <c r="T23" s="307">
        <f>P23/$P$20</f>
        <v>0.91176470588235292</v>
      </c>
      <c r="U23" s="306"/>
      <c r="V23" s="315">
        <f t="shared" si="19"/>
        <v>0.8</v>
      </c>
      <c r="W23" s="291"/>
      <c r="AG23" s="286">
        <v>400</v>
      </c>
      <c r="AH23" s="286">
        <f>AG23/400*600</f>
        <v>600</v>
      </c>
    </row>
    <row r="24" spans="1:34" x14ac:dyDescent="0.25">
      <c r="A24" s="244">
        <f t="shared" si="10"/>
        <v>3000</v>
      </c>
      <c r="B24" s="244">
        <v>200</v>
      </c>
      <c r="C24" s="312">
        <v>7000</v>
      </c>
      <c r="D24" s="312">
        <v>350</v>
      </c>
      <c r="E24" s="311">
        <f t="shared" si="11"/>
        <v>72</v>
      </c>
      <c r="F24" s="310">
        <f t="shared" si="12"/>
        <v>71.77</v>
      </c>
      <c r="G24" s="240">
        <v>60</v>
      </c>
      <c r="H24" s="240">
        <v>58</v>
      </c>
      <c r="I24" s="239">
        <f t="shared" si="13"/>
        <v>58</v>
      </c>
      <c r="J24" s="240">
        <v>60</v>
      </c>
      <c r="K24" s="240">
        <v>57</v>
      </c>
      <c r="L24" s="239">
        <f t="shared" si="14"/>
        <v>57</v>
      </c>
      <c r="M24" s="240">
        <v>60</v>
      </c>
      <c r="N24" s="240">
        <v>58</v>
      </c>
      <c r="O24" s="239">
        <f t="shared" si="15"/>
        <v>58</v>
      </c>
      <c r="P24" s="309">
        <f t="shared" si="16"/>
        <v>58</v>
      </c>
      <c r="Q24" s="237">
        <f t="shared" si="17"/>
        <v>13.92</v>
      </c>
      <c r="R24" s="308">
        <f t="shared" si="18"/>
        <v>0.19333333333333333</v>
      </c>
      <c r="S24" s="293"/>
      <c r="T24" s="307">
        <f>P24/$P$20</f>
        <v>0.8529411764705882</v>
      </c>
      <c r="U24" s="306"/>
      <c r="V24" s="315">
        <f t="shared" si="19"/>
        <v>0.8</v>
      </c>
      <c r="W24" s="291"/>
    </row>
    <row r="25" spans="1:34" x14ac:dyDescent="0.25">
      <c r="A25" s="235"/>
      <c r="B25" s="235"/>
      <c r="C25" s="312"/>
      <c r="D25" s="312"/>
      <c r="E25" s="311"/>
      <c r="F25" s="310"/>
      <c r="G25" s="240"/>
      <c r="H25" s="240"/>
      <c r="I25" s="250"/>
      <c r="J25" s="240"/>
      <c r="K25" s="240"/>
      <c r="L25" s="250"/>
      <c r="M25" s="240"/>
      <c r="N25" s="240"/>
      <c r="O25" s="250"/>
      <c r="P25" s="309"/>
      <c r="Q25" s="237"/>
      <c r="R25" s="293"/>
      <c r="S25" s="293"/>
      <c r="T25" s="307"/>
      <c r="U25" s="306"/>
      <c r="V25" s="291"/>
      <c r="W25" s="291"/>
    </row>
    <row r="26" spans="1:34" x14ac:dyDescent="0.25">
      <c r="A26" s="235">
        <f t="shared" ref="A26:A31" si="20">AA4</f>
        <v>0</v>
      </c>
      <c r="B26" s="235">
        <f t="shared" ref="B26:B31" si="21">Z$6</f>
        <v>400</v>
      </c>
      <c r="C26" s="312">
        <v>650</v>
      </c>
      <c r="D26" s="312">
        <v>300</v>
      </c>
      <c r="E26" s="311">
        <f t="shared" ref="E26:E31" si="22">C26/1000*3600/D26</f>
        <v>7.8</v>
      </c>
      <c r="F26" s="310">
        <f t="shared" ref="F26:F31" si="23">E26-$Q$7</f>
        <v>7.57</v>
      </c>
      <c r="G26" s="240">
        <v>60</v>
      </c>
      <c r="H26" s="240">
        <v>137</v>
      </c>
      <c r="I26" s="239">
        <f t="shared" ref="I26:I31" si="24">IF(AND(G26&gt;0,H26&gt;0), H26/(G26/60)*sg_corr_factor, 0)</f>
        <v>138.45936048741515</v>
      </c>
      <c r="J26" s="240">
        <v>60</v>
      </c>
      <c r="K26" s="240">
        <v>138</v>
      </c>
      <c r="L26" s="239">
        <f t="shared" ref="L26:L31" si="25">IF(AND(J26&gt;0,K26&gt;0), K26/(J26/60)*sg_corr_factor, 0)</f>
        <v>139.47001275374663</v>
      </c>
      <c r="M26" s="240">
        <v>60</v>
      </c>
      <c r="N26" s="240">
        <v>137</v>
      </c>
      <c r="O26" s="239">
        <f t="shared" ref="O26:O31" si="26">IF(AND(M26&gt;0,N26&gt;0), N26/(M26/60)*sg_corr_factor, 0)</f>
        <v>138.45936048741515</v>
      </c>
      <c r="P26" s="309">
        <f t="shared" ref="P26:P31" si="27">60*H26/G26</f>
        <v>137</v>
      </c>
      <c r="Q26" s="237">
        <f t="shared" ref="Q26:Q31" si="28">P26/100*A26/100*0.8</f>
        <v>0</v>
      </c>
      <c r="R26" s="308">
        <f t="shared" ref="R26:R31" si="29">Q26/E26</f>
        <v>0</v>
      </c>
      <c r="S26" s="293"/>
      <c r="T26" s="307"/>
      <c r="U26" s="306"/>
      <c r="V26" s="291"/>
      <c r="W26" s="291"/>
      <c r="X26" s="249"/>
      <c r="Y26" s="248" t="s">
        <v>391</v>
      </c>
      <c r="Z26" s="248"/>
    </row>
    <row r="27" spans="1:34" x14ac:dyDescent="0.25">
      <c r="A27" s="235">
        <f t="shared" si="20"/>
        <v>100</v>
      </c>
      <c r="B27" s="235">
        <f t="shared" si="21"/>
        <v>400</v>
      </c>
      <c r="C27" s="312">
        <v>950</v>
      </c>
      <c r="D27" s="312">
        <v>385</v>
      </c>
      <c r="E27" s="311">
        <f t="shared" si="22"/>
        <v>8.8831168831168839</v>
      </c>
      <c r="F27" s="310">
        <f t="shared" si="23"/>
        <v>8.6531168831168834</v>
      </c>
      <c r="G27" s="240">
        <v>60</v>
      </c>
      <c r="H27" s="240">
        <v>135</v>
      </c>
      <c r="I27" s="239">
        <f t="shared" si="24"/>
        <v>136.43805595475214</v>
      </c>
      <c r="J27" s="240">
        <v>60</v>
      </c>
      <c r="K27" s="240">
        <v>135</v>
      </c>
      <c r="L27" s="239">
        <f t="shared" si="25"/>
        <v>136.43805595475214</v>
      </c>
      <c r="M27" s="240">
        <v>60</v>
      </c>
      <c r="N27" s="240">
        <v>136</v>
      </c>
      <c r="O27" s="239">
        <f t="shared" si="26"/>
        <v>137.44870822108365</v>
      </c>
      <c r="P27" s="309">
        <f t="shared" si="27"/>
        <v>135</v>
      </c>
      <c r="Q27" s="237">
        <f t="shared" si="28"/>
        <v>1.08</v>
      </c>
      <c r="R27" s="308">
        <f t="shared" si="29"/>
        <v>0.12157894736842105</v>
      </c>
      <c r="S27" s="293"/>
      <c r="T27" s="307">
        <f>P27/$P$27</f>
        <v>1</v>
      </c>
      <c r="U27" s="306"/>
      <c r="V27" s="291"/>
      <c r="W27" s="291"/>
      <c r="AG27" s="286">
        <v>100</v>
      </c>
      <c r="AH27" s="286">
        <f>AG27/400*600</f>
        <v>150</v>
      </c>
    </row>
    <row r="28" spans="1:34" x14ac:dyDescent="0.25">
      <c r="A28" s="235">
        <f t="shared" si="20"/>
        <v>500</v>
      </c>
      <c r="B28" s="235">
        <f t="shared" si="21"/>
        <v>400</v>
      </c>
      <c r="C28" s="312">
        <v>1150</v>
      </c>
      <c r="D28" s="312">
        <v>330</v>
      </c>
      <c r="E28" s="311">
        <f t="shared" si="22"/>
        <v>12.545454545454545</v>
      </c>
      <c r="F28" s="310">
        <f t="shared" si="23"/>
        <v>12.315454545454545</v>
      </c>
      <c r="G28" s="240">
        <v>60</v>
      </c>
      <c r="H28" s="240">
        <v>131</v>
      </c>
      <c r="I28" s="239">
        <f t="shared" si="24"/>
        <v>132.39544688942615</v>
      </c>
      <c r="J28" s="240">
        <v>60</v>
      </c>
      <c r="K28" s="240">
        <v>132</v>
      </c>
      <c r="L28" s="239">
        <f t="shared" si="25"/>
        <v>133.40609915575766</v>
      </c>
      <c r="M28" s="240">
        <v>60</v>
      </c>
      <c r="N28" s="240">
        <v>132</v>
      </c>
      <c r="O28" s="239">
        <f t="shared" si="26"/>
        <v>133.40609915575766</v>
      </c>
      <c r="P28" s="309">
        <f t="shared" si="27"/>
        <v>131</v>
      </c>
      <c r="Q28" s="237">
        <f t="shared" si="28"/>
        <v>5.24</v>
      </c>
      <c r="R28" s="308">
        <f t="shared" si="29"/>
        <v>0.41768115942028988</v>
      </c>
      <c r="S28" s="293"/>
      <c r="T28" s="307">
        <f>P28/$P$27</f>
        <v>0.97037037037037033</v>
      </c>
      <c r="U28" s="306"/>
      <c r="V28" s="291"/>
      <c r="W28" s="291"/>
      <c r="AG28" s="286">
        <v>200</v>
      </c>
      <c r="AH28" s="286">
        <f>AG28/400*600</f>
        <v>300</v>
      </c>
    </row>
    <row r="29" spans="1:34" x14ac:dyDescent="0.25">
      <c r="A29" s="235">
        <f t="shared" si="20"/>
        <v>1000</v>
      </c>
      <c r="B29" s="235">
        <f t="shared" si="21"/>
        <v>400</v>
      </c>
      <c r="C29" s="312">
        <v>1650</v>
      </c>
      <c r="D29" s="312">
        <v>300</v>
      </c>
      <c r="E29" s="311">
        <f t="shared" si="22"/>
        <v>19.8</v>
      </c>
      <c r="F29" s="310">
        <f t="shared" si="23"/>
        <v>19.57</v>
      </c>
      <c r="G29" s="240">
        <v>60</v>
      </c>
      <c r="H29" s="240">
        <v>127</v>
      </c>
      <c r="I29" s="239">
        <f t="shared" si="24"/>
        <v>128.35283782410016</v>
      </c>
      <c r="J29" s="240">
        <v>60</v>
      </c>
      <c r="K29" s="240">
        <v>127</v>
      </c>
      <c r="L29" s="239">
        <f t="shared" si="25"/>
        <v>128.35283782410016</v>
      </c>
      <c r="M29" s="240">
        <v>60</v>
      </c>
      <c r="N29" s="240">
        <v>127</v>
      </c>
      <c r="O29" s="239">
        <f t="shared" si="26"/>
        <v>128.35283782410016</v>
      </c>
      <c r="P29" s="309">
        <f t="shared" si="27"/>
        <v>127</v>
      </c>
      <c r="Q29" s="237">
        <f t="shared" si="28"/>
        <v>10.16</v>
      </c>
      <c r="R29" s="308">
        <f t="shared" si="29"/>
        <v>0.5131313131313131</v>
      </c>
      <c r="S29" s="293"/>
      <c r="T29" s="307">
        <f>P29/$P$27</f>
        <v>0.94074074074074077</v>
      </c>
      <c r="U29" s="306"/>
      <c r="V29" s="291"/>
      <c r="W29" s="291"/>
      <c r="AG29" s="286">
        <v>300</v>
      </c>
      <c r="AH29" s="286">
        <f>AG29/400*600</f>
        <v>450</v>
      </c>
    </row>
    <row r="30" spans="1:34" x14ac:dyDescent="0.25">
      <c r="A30" s="235">
        <f t="shared" si="20"/>
        <v>2000</v>
      </c>
      <c r="B30" s="235">
        <f t="shared" si="21"/>
        <v>400</v>
      </c>
      <c r="C30" s="312">
        <v>3200</v>
      </c>
      <c r="D30" s="312">
        <v>300</v>
      </c>
      <c r="E30" s="311">
        <f t="shared" si="22"/>
        <v>38.4</v>
      </c>
      <c r="F30" s="310">
        <f t="shared" si="23"/>
        <v>38.17</v>
      </c>
      <c r="G30" s="240">
        <v>60</v>
      </c>
      <c r="H30" s="240">
        <v>123</v>
      </c>
      <c r="I30" s="239">
        <f t="shared" si="24"/>
        <v>124.31022875877419</v>
      </c>
      <c r="J30" s="240">
        <v>60</v>
      </c>
      <c r="K30" s="240">
        <v>122</v>
      </c>
      <c r="L30" s="239">
        <f t="shared" si="25"/>
        <v>123.29957649244268</v>
      </c>
      <c r="M30" s="240">
        <v>60</v>
      </c>
      <c r="N30" s="240">
        <v>123</v>
      </c>
      <c r="O30" s="239">
        <f t="shared" si="26"/>
        <v>124.31022875877419</v>
      </c>
      <c r="P30" s="309">
        <f t="shared" si="27"/>
        <v>123</v>
      </c>
      <c r="Q30" s="237">
        <f t="shared" si="28"/>
        <v>19.680000000000003</v>
      </c>
      <c r="R30" s="308">
        <f t="shared" si="29"/>
        <v>0.51250000000000007</v>
      </c>
      <c r="S30" s="293"/>
      <c r="T30" s="307">
        <f>P30/$P$27</f>
        <v>0.91111111111111109</v>
      </c>
      <c r="U30" s="306"/>
      <c r="V30" s="291"/>
      <c r="W30" s="291"/>
      <c r="AG30" s="286">
        <v>400</v>
      </c>
      <c r="AH30" s="286">
        <f>AG30/400*600</f>
        <v>600</v>
      </c>
    </row>
    <row r="31" spans="1:34" x14ac:dyDescent="0.25">
      <c r="A31" s="235">
        <f t="shared" si="20"/>
        <v>3000</v>
      </c>
      <c r="B31" s="235">
        <f t="shared" si="21"/>
        <v>400</v>
      </c>
      <c r="C31" s="312">
        <v>4850</v>
      </c>
      <c r="D31" s="312">
        <v>310</v>
      </c>
      <c r="E31" s="311">
        <f t="shared" si="22"/>
        <v>56.322580645161288</v>
      </c>
      <c r="F31" s="310">
        <f t="shared" si="23"/>
        <v>56.092580645161291</v>
      </c>
      <c r="G31" s="240">
        <v>60</v>
      </c>
      <c r="H31" s="240">
        <v>115</v>
      </c>
      <c r="I31" s="239">
        <f t="shared" si="24"/>
        <v>116.22501062812221</v>
      </c>
      <c r="J31" s="240">
        <v>60</v>
      </c>
      <c r="K31" s="240">
        <v>115</v>
      </c>
      <c r="L31" s="239">
        <f t="shared" si="25"/>
        <v>116.22501062812221</v>
      </c>
      <c r="M31" s="240">
        <v>60</v>
      </c>
      <c r="N31" s="240">
        <v>115</v>
      </c>
      <c r="O31" s="239">
        <f t="shared" si="26"/>
        <v>116.22501062812221</v>
      </c>
      <c r="P31" s="309">
        <f t="shared" si="27"/>
        <v>115</v>
      </c>
      <c r="Q31" s="237">
        <f t="shared" si="28"/>
        <v>27.599999999999994</v>
      </c>
      <c r="R31" s="308">
        <f t="shared" si="29"/>
        <v>0.49003436426116831</v>
      </c>
      <c r="S31" s="293"/>
      <c r="T31" s="307">
        <f>P31/$P$27</f>
        <v>0.85185185185185186</v>
      </c>
      <c r="U31" s="306"/>
      <c r="V31" s="291"/>
      <c r="W31" s="291"/>
    </row>
    <row r="32" spans="1:34" x14ac:dyDescent="0.25">
      <c r="A32" s="244"/>
      <c r="B32" s="235"/>
      <c r="C32" s="312"/>
      <c r="D32" s="312"/>
      <c r="E32" s="311"/>
      <c r="F32" s="310"/>
      <c r="G32" s="240"/>
      <c r="H32" s="240"/>
      <c r="I32" s="250"/>
      <c r="J32" s="240"/>
      <c r="K32" s="240"/>
      <c r="L32" s="250"/>
      <c r="M32" s="240"/>
      <c r="N32" s="240"/>
      <c r="O32" s="250"/>
      <c r="P32" s="309"/>
      <c r="Q32" s="237"/>
      <c r="R32" s="293"/>
      <c r="S32" s="293"/>
      <c r="T32" s="307"/>
      <c r="U32" s="306"/>
      <c r="V32" s="291"/>
      <c r="W32" s="291"/>
    </row>
    <row r="33" spans="1:34" x14ac:dyDescent="0.25">
      <c r="A33" s="235">
        <f t="shared" ref="A33:A38" si="30">AA4</f>
        <v>0</v>
      </c>
      <c r="B33" s="235">
        <f t="shared" ref="B33:B38" si="31">Z$7</f>
        <v>600</v>
      </c>
      <c r="C33" s="312">
        <v>1100</v>
      </c>
      <c r="D33" s="312">
        <v>310</v>
      </c>
      <c r="E33" s="311">
        <f t="shared" ref="E33:E38" si="32">C33/1000*3600/D33</f>
        <v>12.774193548387098</v>
      </c>
      <c r="F33" s="310">
        <f t="shared" ref="F33:F38" si="33">E33-$Q$7</f>
        <v>12.544193548387097</v>
      </c>
      <c r="G33" s="240">
        <v>60</v>
      </c>
      <c r="H33" s="240">
        <v>200</v>
      </c>
      <c r="I33" s="239">
        <f t="shared" ref="I33:I38" si="34">IF(AND(G33&gt;0,H33&gt;0), H33/(G33/60)*sg_corr_factor, 0)</f>
        <v>202.13045326629947</v>
      </c>
      <c r="J33" s="240">
        <v>60</v>
      </c>
      <c r="K33" s="240">
        <v>200</v>
      </c>
      <c r="L33" s="239">
        <f t="shared" ref="L33:L38" si="35">IF(AND(J33&gt;0,K33&gt;0), K33/(J33/60)*sg_corr_factor, 0)</f>
        <v>202.13045326629947</v>
      </c>
      <c r="M33" s="240">
        <v>60</v>
      </c>
      <c r="N33" s="240">
        <v>200</v>
      </c>
      <c r="O33" s="239">
        <f t="shared" ref="O33:O38" si="36">IF(AND(M33&gt;0,N33&gt;0), N33/(M33/60)*sg_corr_factor, 0)</f>
        <v>202.13045326629947</v>
      </c>
      <c r="P33" s="309">
        <f t="shared" ref="P33:P38" si="37">AVERAGE(I33,L33,O33)</f>
        <v>202.13045326629947</v>
      </c>
      <c r="Q33" s="237">
        <f t="shared" ref="Q33:Q38" si="38">P33/100*A33/100*0.8</f>
        <v>0</v>
      </c>
      <c r="R33" s="308">
        <f t="shared" ref="R33:R38" si="39">Q33/E33</f>
        <v>0</v>
      </c>
      <c r="S33" s="293"/>
      <c r="T33" s="307"/>
      <c r="U33" s="306"/>
      <c r="V33" s="291"/>
      <c r="W33" s="291"/>
      <c r="X33" s="249"/>
      <c r="Y33" s="288" t="s">
        <v>393</v>
      </c>
      <c r="Z33" s="248"/>
    </row>
    <row r="34" spans="1:34" x14ac:dyDescent="0.25">
      <c r="A34" s="235">
        <f t="shared" si="30"/>
        <v>100</v>
      </c>
      <c r="B34" s="235">
        <f t="shared" si="31"/>
        <v>600</v>
      </c>
      <c r="C34" s="312">
        <v>1200</v>
      </c>
      <c r="D34" s="312">
        <v>310</v>
      </c>
      <c r="E34" s="311">
        <f t="shared" si="32"/>
        <v>13.935483870967742</v>
      </c>
      <c r="F34" s="310">
        <f t="shared" si="33"/>
        <v>13.705483870967742</v>
      </c>
      <c r="G34" s="240">
        <v>60</v>
      </c>
      <c r="H34" s="240">
        <v>198</v>
      </c>
      <c r="I34" s="239">
        <f t="shared" si="34"/>
        <v>200.10914873363649</v>
      </c>
      <c r="J34" s="240">
        <v>60</v>
      </c>
      <c r="K34" s="240">
        <v>198</v>
      </c>
      <c r="L34" s="239">
        <f t="shared" si="35"/>
        <v>200.10914873363649</v>
      </c>
      <c r="M34" s="240">
        <v>60</v>
      </c>
      <c r="N34" s="240">
        <v>198</v>
      </c>
      <c r="O34" s="239">
        <f t="shared" si="36"/>
        <v>200.10914873363649</v>
      </c>
      <c r="P34" s="309">
        <f t="shared" si="37"/>
        <v>200.10914873363649</v>
      </c>
      <c r="Q34" s="237">
        <f t="shared" si="38"/>
        <v>1.600873189869092</v>
      </c>
      <c r="R34" s="308">
        <f t="shared" si="39"/>
        <v>0.11487747427301355</v>
      </c>
      <c r="S34" s="293"/>
      <c r="T34" s="307">
        <f>P34/$P$34</f>
        <v>1</v>
      </c>
      <c r="U34" s="306"/>
      <c r="V34" s="291"/>
      <c r="W34" s="291"/>
      <c r="AG34" s="286">
        <v>100</v>
      </c>
      <c r="AH34" s="286">
        <f>AG34/400*600</f>
        <v>150</v>
      </c>
    </row>
    <row r="35" spans="1:34" x14ac:dyDescent="0.25">
      <c r="A35" s="235">
        <f t="shared" si="30"/>
        <v>500</v>
      </c>
      <c r="B35" s="235">
        <f t="shared" si="31"/>
        <v>600</v>
      </c>
      <c r="C35" s="312">
        <v>1800</v>
      </c>
      <c r="D35" s="312">
        <v>310</v>
      </c>
      <c r="E35" s="311">
        <f t="shared" si="32"/>
        <v>20.903225806451612</v>
      </c>
      <c r="F35" s="310">
        <f t="shared" si="33"/>
        <v>20.673225806451612</v>
      </c>
      <c r="G35" s="240">
        <v>60</v>
      </c>
      <c r="H35" s="240">
        <v>195</v>
      </c>
      <c r="I35" s="239">
        <f t="shared" si="34"/>
        <v>197.077191934642</v>
      </c>
      <c r="J35" s="240">
        <v>60</v>
      </c>
      <c r="K35" s="240">
        <v>193</v>
      </c>
      <c r="L35" s="239">
        <f t="shared" si="35"/>
        <v>195.05588740197899</v>
      </c>
      <c r="M35" s="240">
        <v>60</v>
      </c>
      <c r="N35" s="240">
        <v>193</v>
      </c>
      <c r="O35" s="239">
        <f t="shared" si="36"/>
        <v>195.05588740197899</v>
      </c>
      <c r="P35" s="309">
        <f t="shared" si="37"/>
        <v>195.72965557953333</v>
      </c>
      <c r="Q35" s="237">
        <f t="shared" si="38"/>
        <v>7.8291862231813329</v>
      </c>
      <c r="R35" s="308">
        <f t="shared" si="39"/>
        <v>0.37454440265219341</v>
      </c>
      <c r="S35" s="293"/>
      <c r="T35" s="307">
        <f>P35/$P$34</f>
        <v>0.97811447811447805</v>
      </c>
      <c r="U35" s="306"/>
      <c r="V35" s="291"/>
      <c r="W35" s="291"/>
      <c r="AG35" s="286">
        <v>200</v>
      </c>
      <c r="AH35" s="286">
        <f>AG35/400*600</f>
        <v>300</v>
      </c>
    </row>
    <row r="36" spans="1:34" x14ac:dyDescent="0.25">
      <c r="A36" s="235">
        <f t="shared" si="30"/>
        <v>1000</v>
      </c>
      <c r="B36" s="235">
        <f t="shared" si="31"/>
        <v>600</v>
      </c>
      <c r="C36" s="312">
        <v>2500</v>
      </c>
      <c r="D36" s="312">
        <v>310</v>
      </c>
      <c r="E36" s="311">
        <f t="shared" si="32"/>
        <v>29.032258064516128</v>
      </c>
      <c r="F36" s="310">
        <f t="shared" si="33"/>
        <v>28.802258064516128</v>
      </c>
      <c r="G36" s="240">
        <v>60</v>
      </c>
      <c r="H36" s="240">
        <v>185</v>
      </c>
      <c r="I36" s="239">
        <f t="shared" si="34"/>
        <v>186.97066927132701</v>
      </c>
      <c r="J36" s="240">
        <v>60</v>
      </c>
      <c r="K36" s="240">
        <v>185</v>
      </c>
      <c r="L36" s="239">
        <f t="shared" si="35"/>
        <v>186.97066927132701</v>
      </c>
      <c r="M36" s="240">
        <v>60</v>
      </c>
      <c r="N36" s="240">
        <v>186</v>
      </c>
      <c r="O36" s="239">
        <f t="shared" si="36"/>
        <v>187.98132153765852</v>
      </c>
      <c r="P36" s="309">
        <f t="shared" si="37"/>
        <v>187.30755336010418</v>
      </c>
      <c r="Q36" s="237">
        <f t="shared" si="38"/>
        <v>14.984604268808335</v>
      </c>
      <c r="R36" s="308">
        <f t="shared" si="39"/>
        <v>0.51613636925895379</v>
      </c>
      <c r="S36" s="293"/>
      <c r="T36" s="307">
        <f>P36/$P$34</f>
        <v>0.93602693602693599</v>
      </c>
      <c r="U36" s="306"/>
      <c r="V36" s="291"/>
      <c r="W36" s="291"/>
      <c r="AG36" s="286">
        <v>300</v>
      </c>
      <c r="AH36" s="286">
        <f>AG36/400*600</f>
        <v>450</v>
      </c>
    </row>
    <row r="37" spans="1:34" x14ac:dyDescent="0.25">
      <c r="A37" s="235">
        <f t="shared" si="30"/>
        <v>2000</v>
      </c>
      <c r="B37" s="235">
        <f t="shared" si="31"/>
        <v>600</v>
      </c>
      <c r="C37" s="312">
        <v>4100</v>
      </c>
      <c r="D37" s="312">
        <v>310</v>
      </c>
      <c r="E37" s="311">
        <f t="shared" si="32"/>
        <v>47.612903225806448</v>
      </c>
      <c r="F37" s="310">
        <f t="shared" si="33"/>
        <v>47.382903225806452</v>
      </c>
      <c r="G37" s="240">
        <v>60</v>
      </c>
      <c r="H37" s="240">
        <v>176</v>
      </c>
      <c r="I37" s="239">
        <f t="shared" si="34"/>
        <v>177.87479887434355</v>
      </c>
      <c r="J37" s="240">
        <v>60</v>
      </c>
      <c r="K37" s="240">
        <v>177</v>
      </c>
      <c r="L37" s="239">
        <f t="shared" si="35"/>
        <v>178.88545114067503</v>
      </c>
      <c r="M37" s="240">
        <v>60</v>
      </c>
      <c r="N37" s="240">
        <v>178</v>
      </c>
      <c r="O37" s="239">
        <f t="shared" si="36"/>
        <v>179.89610340700654</v>
      </c>
      <c r="P37" s="309">
        <f t="shared" si="37"/>
        <v>178.88545114067506</v>
      </c>
      <c r="Q37" s="237">
        <f t="shared" si="38"/>
        <v>28.621672182508007</v>
      </c>
      <c r="R37" s="308">
        <f t="shared" si="39"/>
        <v>0.60113268133993791</v>
      </c>
      <c r="S37" s="293"/>
      <c r="T37" s="307">
        <f>P37/$P$34</f>
        <v>0.89393939393939403</v>
      </c>
      <c r="U37" s="306"/>
      <c r="V37" s="291"/>
      <c r="W37" s="291"/>
      <c r="AG37" s="286">
        <v>400</v>
      </c>
      <c r="AH37" s="286">
        <f>AG37/400*600</f>
        <v>600</v>
      </c>
    </row>
    <row r="38" spans="1:34" x14ac:dyDescent="0.25">
      <c r="A38" s="235">
        <f t="shared" si="30"/>
        <v>3000</v>
      </c>
      <c r="B38" s="235">
        <f t="shared" si="31"/>
        <v>600</v>
      </c>
      <c r="C38" s="312">
        <v>5800</v>
      </c>
      <c r="D38" s="312">
        <v>311</v>
      </c>
      <c r="E38" s="311">
        <f t="shared" si="32"/>
        <v>67.138263665594849</v>
      </c>
      <c r="F38" s="310">
        <f t="shared" si="33"/>
        <v>66.908263665594845</v>
      </c>
      <c r="G38" s="240">
        <v>60</v>
      </c>
      <c r="H38" s="240">
        <v>170</v>
      </c>
      <c r="I38" s="239">
        <f t="shared" si="34"/>
        <v>171.81088527635455</v>
      </c>
      <c r="J38" s="240">
        <v>60</v>
      </c>
      <c r="K38" s="240">
        <v>168</v>
      </c>
      <c r="L38" s="239">
        <f t="shared" si="35"/>
        <v>169.78958074369157</v>
      </c>
      <c r="M38" s="240">
        <v>60</v>
      </c>
      <c r="N38" s="240">
        <v>171</v>
      </c>
      <c r="O38" s="239">
        <f t="shared" si="36"/>
        <v>172.82153754268606</v>
      </c>
      <c r="P38" s="309">
        <f t="shared" si="37"/>
        <v>171.47400118757741</v>
      </c>
      <c r="Q38" s="237">
        <f t="shared" si="38"/>
        <v>41.153760285018585</v>
      </c>
      <c r="R38" s="308">
        <f t="shared" si="39"/>
        <v>0.61297028010731713</v>
      </c>
      <c r="S38" s="293"/>
      <c r="T38" s="307">
        <f>P38/$P$34</f>
        <v>0.85690235690235705</v>
      </c>
      <c r="U38" s="306"/>
      <c r="V38" s="291"/>
      <c r="W38" s="291"/>
    </row>
    <row r="39" spans="1:34" x14ac:dyDescent="0.25">
      <c r="A39" s="235"/>
      <c r="B39" s="235"/>
      <c r="C39" s="312"/>
      <c r="D39" s="312"/>
      <c r="E39" s="311"/>
      <c r="F39" s="310"/>
      <c r="G39" s="240"/>
      <c r="H39" s="240"/>
      <c r="I39" s="239"/>
      <c r="J39" s="240"/>
      <c r="K39" s="240"/>
      <c r="L39" s="239"/>
      <c r="M39" s="240"/>
      <c r="N39" s="240"/>
      <c r="O39" s="239"/>
      <c r="P39" s="309"/>
      <c r="Q39" s="237"/>
      <c r="R39" s="293"/>
      <c r="S39" s="293"/>
      <c r="T39" s="307"/>
      <c r="U39" s="306"/>
      <c r="V39" s="291"/>
      <c r="W39" s="291"/>
    </row>
    <row r="40" spans="1:34" x14ac:dyDescent="0.25">
      <c r="A40" s="235">
        <f t="shared" ref="A40:A45" si="40">AA4</f>
        <v>0</v>
      </c>
      <c r="B40" s="235">
        <f t="shared" ref="B40:B45" si="41">Z$8</f>
        <v>800</v>
      </c>
      <c r="C40" s="312">
        <v>1550</v>
      </c>
      <c r="D40" s="312">
        <v>300</v>
      </c>
      <c r="E40" s="311">
        <f t="shared" ref="E40:E45" si="42">C40/1000*3600/D40</f>
        <v>18.600000000000001</v>
      </c>
      <c r="F40" s="310">
        <f t="shared" ref="F40:F45" si="43">E40-$Q$7</f>
        <v>18.37</v>
      </c>
      <c r="G40" s="240">
        <v>60</v>
      </c>
      <c r="H40" s="240">
        <v>265</v>
      </c>
      <c r="I40" s="239">
        <f t="shared" ref="I40:I45" si="44">IF(AND(G40&gt;0,H40&gt;0), H40/(G40/60)*sg_corr_factor, 0)</f>
        <v>267.82285057784679</v>
      </c>
      <c r="J40" s="240">
        <v>60</v>
      </c>
      <c r="K40" s="240">
        <v>266</v>
      </c>
      <c r="L40" s="239">
        <f>IF(AND(J40&gt;0,K40&gt;0), K40/(J40/60)*sg_corr_factor, 0)</f>
        <v>268.83350284417833</v>
      </c>
      <c r="M40" s="240">
        <v>60</v>
      </c>
      <c r="N40" s="240">
        <v>268</v>
      </c>
      <c r="O40" s="239">
        <f t="shared" ref="O40:O45" si="45">IF(AND(M40&gt;0,N40&gt;0), N40/(M40/60)*sg_corr_factor, 0)</f>
        <v>270.85480737684128</v>
      </c>
      <c r="P40" s="309">
        <f t="shared" ref="P40:P45" si="46">AVERAGE(I40,L40,O40)</f>
        <v>269.17038693295552</v>
      </c>
      <c r="Q40" s="237">
        <f t="shared" ref="Q40:Q45" si="47">P40/100*A40/100*0.8</f>
        <v>0</v>
      </c>
      <c r="R40" s="308">
        <f t="shared" ref="R40:R45" si="48">Q40/E40</f>
        <v>0</v>
      </c>
      <c r="S40" s="293"/>
      <c r="T40" s="307"/>
      <c r="U40" s="306"/>
      <c r="V40" s="291"/>
      <c r="W40" s="291"/>
      <c r="X40" s="249"/>
      <c r="Y40" s="288" t="s">
        <v>393</v>
      </c>
      <c r="Z40" s="248"/>
    </row>
    <row r="41" spans="1:34" x14ac:dyDescent="0.25">
      <c r="A41" s="235">
        <f t="shared" si="40"/>
        <v>100</v>
      </c>
      <c r="B41" s="235">
        <f t="shared" si="41"/>
        <v>800</v>
      </c>
      <c r="C41" s="312">
        <v>1800</v>
      </c>
      <c r="D41" s="312">
        <v>300</v>
      </c>
      <c r="E41" s="311">
        <f t="shared" si="42"/>
        <v>21.6</v>
      </c>
      <c r="F41" s="310">
        <f t="shared" si="43"/>
        <v>21.37</v>
      </c>
      <c r="G41" s="240">
        <v>60</v>
      </c>
      <c r="H41" s="240">
        <v>260</v>
      </c>
      <c r="I41" s="239">
        <f t="shared" si="44"/>
        <v>262.7695892461893</v>
      </c>
      <c r="J41" s="240">
        <v>60</v>
      </c>
      <c r="K41" s="240">
        <v>261</v>
      </c>
      <c r="L41" s="239">
        <f>IF(AND(J41&gt;0,K41&gt;0), K41/(J41/60)*sg_corr_factor, 0)</f>
        <v>263.78024151252083</v>
      </c>
      <c r="M41" s="240">
        <v>60</v>
      </c>
      <c r="N41" s="240">
        <v>260</v>
      </c>
      <c r="O41" s="239">
        <f t="shared" si="45"/>
        <v>262.7695892461893</v>
      </c>
      <c r="P41" s="309">
        <f t="shared" si="46"/>
        <v>263.10647333496649</v>
      </c>
      <c r="Q41" s="237">
        <f t="shared" si="47"/>
        <v>2.1048517866797321</v>
      </c>
      <c r="R41" s="308">
        <f t="shared" si="48"/>
        <v>9.7446841975913509E-2</v>
      </c>
      <c r="S41" s="293"/>
      <c r="T41" s="307">
        <f>P41/$P$41</f>
        <v>1</v>
      </c>
      <c r="U41" s="306"/>
      <c r="V41" s="291"/>
      <c r="W41" s="291"/>
      <c r="AG41" s="286">
        <v>100</v>
      </c>
      <c r="AH41" s="286">
        <f>AG41/400*600</f>
        <v>150</v>
      </c>
    </row>
    <row r="42" spans="1:34" x14ac:dyDescent="0.25">
      <c r="A42" s="235">
        <f t="shared" si="40"/>
        <v>500</v>
      </c>
      <c r="B42" s="235">
        <f t="shared" si="41"/>
        <v>800</v>
      </c>
      <c r="C42" s="312">
        <v>2500</v>
      </c>
      <c r="D42" s="312">
        <v>310</v>
      </c>
      <c r="E42" s="311">
        <f t="shared" si="42"/>
        <v>29.032258064516128</v>
      </c>
      <c r="F42" s="310">
        <f t="shared" si="43"/>
        <v>28.802258064516128</v>
      </c>
      <c r="G42" s="240">
        <v>60</v>
      </c>
      <c r="H42" s="240">
        <v>253</v>
      </c>
      <c r="I42" s="239">
        <f t="shared" si="44"/>
        <v>255.69502338186885</v>
      </c>
      <c r="J42" s="240">
        <v>60</v>
      </c>
      <c r="K42" s="240">
        <v>252</v>
      </c>
      <c r="L42" s="239">
        <f>IF(AND(J42&gt;0,K42&gt;0), K42/(J42/60)*sg_corr_factor, 0)</f>
        <v>254.68437111553735</v>
      </c>
      <c r="M42" s="240">
        <v>60</v>
      </c>
      <c r="N42" s="240">
        <v>253</v>
      </c>
      <c r="O42" s="239">
        <f t="shared" si="45"/>
        <v>255.69502338186885</v>
      </c>
      <c r="P42" s="309">
        <f t="shared" si="46"/>
        <v>255.35813929309168</v>
      </c>
      <c r="Q42" s="237">
        <f t="shared" si="47"/>
        <v>10.21432557172367</v>
      </c>
      <c r="R42" s="308">
        <f t="shared" si="48"/>
        <v>0.35182676969270421</v>
      </c>
      <c r="S42" s="293"/>
      <c r="T42" s="307">
        <f>P42/$P$41</f>
        <v>0.97055057618437901</v>
      </c>
      <c r="U42" s="306"/>
      <c r="V42" s="291"/>
      <c r="W42" s="291"/>
      <c r="AG42" s="286">
        <v>200</v>
      </c>
      <c r="AH42" s="286">
        <f>AG42/400*600</f>
        <v>300</v>
      </c>
    </row>
    <row r="43" spans="1:34" x14ac:dyDescent="0.25">
      <c r="A43" s="235">
        <f t="shared" si="40"/>
        <v>1000</v>
      </c>
      <c r="B43" s="235">
        <f t="shared" si="41"/>
        <v>800</v>
      </c>
      <c r="C43" s="312">
        <v>3500</v>
      </c>
      <c r="D43" s="312">
        <v>300</v>
      </c>
      <c r="E43" s="311">
        <f t="shared" si="42"/>
        <v>42</v>
      </c>
      <c r="F43" s="310">
        <f t="shared" si="43"/>
        <v>41.77</v>
      </c>
      <c r="G43" s="240">
        <v>60</v>
      </c>
      <c r="H43" s="240">
        <v>245</v>
      </c>
      <c r="I43" s="239">
        <f t="shared" si="44"/>
        <v>247.60980525121687</v>
      </c>
      <c r="J43" s="240">
        <v>60</v>
      </c>
      <c r="K43" s="240">
        <v>247</v>
      </c>
      <c r="L43" s="239">
        <f>IF(AND(J43&gt;0,K43&gt;0), K43/(J43/60)*sg_corr_factor, 0)</f>
        <v>249.63110978387985</v>
      </c>
      <c r="M43" s="240">
        <v>60</v>
      </c>
      <c r="N43" s="240">
        <v>245</v>
      </c>
      <c r="O43" s="239">
        <f t="shared" si="45"/>
        <v>247.60980525121687</v>
      </c>
      <c r="P43" s="309">
        <f t="shared" si="46"/>
        <v>248.28357342877121</v>
      </c>
      <c r="Q43" s="237">
        <f t="shared" si="47"/>
        <v>19.862685874301697</v>
      </c>
      <c r="R43" s="308">
        <f t="shared" si="48"/>
        <v>0.47292109224527851</v>
      </c>
      <c r="S43" s="293"/>
      <c r="T43" s="307">
        <f>P43/$P$41</f>
        <v>0.94366197183098599</v>
      </c>
      <c r="U43" s="306"/>
      <c r="V43" s="291"/>
      <c r="W43" s="291"/>
      <c r="AG43" s="286">
        <v>300</v>
      </c>
      <c r="AH43" s="286">
        <f>AG43/400*600</f>
        <v>450</v>
      </c>
    </row>
    <row r="44" spans="1:34" x14ac:dyDescent="0.25">
      <c r="A44" s="235">
        <f t="shared" si="40"/>
        <v>2000</v>
      </c>
      <c r="B44" s="235">
        <f t="shared" si="41"/>
        <v>800</v>
      </c>
      <c r="C44" s="312">
        <v>5650</v>
      </c>
      <c r="D44" s="312">
        <v>330</v>
      </c>
      <c r="E44" s="311">
        <f t="shared" si="42"/>
        <v>61.636363636363633</v>
      </c>
      <c r="F44" s="310">
        <f t="shared" si="43"/>
        <v>61.406363636363636</v>
      </c>
      <c r="G44" s="240">
        <v>60</v>
      </c>
      <c r="H44" s="240">
        <v>230</v>
      </c>
      <c r="I44" s="239">
        <f t="shared" si="44"/>
        <v>232.45002125624441</v>
      </c>
      <c r="J44" s="240">
        <v>60</v>
      </c>
      <c r="K44" s="240">
        <v>230</v>
      </c>
      <c r="L44" s="239">
        <f>IF(AND(J44&gt;0,K44&gt;0), K44/(J44/60)*sg_corr_factor, 0)</f>
        <v>232.45002125624441</v>
      </c>
      <c r="M44" s="240">
        <v>60</v>
      </c>
      <c r="N44" s="240">
        <v>230</v>
      </c>
      <c r="O44" s="239">
        <f t="shared" si="45"/>
        <v>232.45002125624441</v>
      </c>
      <c r="P44" s="309">
        <f t="shared" si="46"/>
        <v>232.45002125624441</v>
      </c>
      <c r="Q44" s="237">
        <f t="shared" si="47"/>
        <v>37.192003400999106</v>
      </c>
      <c r="R44" s="308">
        <f t="shared" si="48"/>
        <v>0.60341008467697665</v>
      </c>
      <c r="S44" s="293"/>
      <c r="T44" s="307">
        <f>P44/$P$41</f>
        <v>0.88348271446863003</v>
      </c>
      <c r="U44" s="306"/>
      <c r="V44" s="291"/>
      <c r="W44" s="291"/>
      <c r="AG44" s="286">
        <v>400</v>
      </c>
      <c r="AH44" s="286">
        <f>AG44/400*600</f>
        <v>600</v>
      </c>
    </row>
    <row r="45" spans="1:34" x14ac:dyDescent="0.25">
      <c r="A45" s="235">
        <f t="shared" si="40"/>
        <v>3000</v>
      </c>
      <c r="B45" s="235">
        <f t="shared" si="41"/>
        <v>800</v>
      </c>
      <c r="C45" s="312">
        <v>6800</v>
      </c>
      <c r="D45" s="312">
        <v>300</v>
      </c>
      <c r="E45" s="311">
        <f t="shared" si="42"/>
        <v>81.599999999999994</v>
      </c>
      <c r="F45" s="310">
        <f t="shared" si="43"/>
        <v>81.36999999999999</v>
      </c>
      <c r="G45" s="240">
        <v>60</v>
      </c>
      <c r="H45" s="240">
        <v>225</v>
      </c>
      <c r="I45" s="239">
        <f t="shared" si="44"/>
        <v>227.39675992458692</v>
      </c>
      <c r="J45" s="240">
        <v>60</v>
      </c>
      <c r="K45" s="240">
        <v>225</v>
      </c>
      <c r="L45" s="239">
        <v>60</v>
      </c>
      <c r="M45" s="240">
        <v>60</v>
      </c>
      <c r="N45" s="240">
        <v>225</v>
      </c>
      <c r="O45" s="239">
        <f t="shared" si="45"/>
        <v>227.39675992458692</v>
      </c>
      <c r="P45" s="309">
        <f t="shared" si="46"/>
        <v>171.59783994972463</v>
      </c>
      <c r="Q45" s="237">
        <f t="shared" si="47"/>
        <v>41.183481587933919</v>
      </c>
      <c r="R45" s="308">
        <f t="shared" si="48"/>
        <v>0.50469952926389605</v>
      </c>
      <c r="S45" s="293"/>
      <c r="T45" s="307">
        <f>P45/$P$41</f>
        <v>0.65219923240451683</v>
      </c>
      <c r="U45" s="306"/>
      <c r="V45" s="291"/>
      <c r="W45" s="291"/>
    </row>
    <row r="46" spans="1:34" x14ac:dyDescent="0.25">
      <c r="A46" s="244"/>
      <c r="B46" s="235"/>
      <c r="C46" s="312"/>
      <c r="D46" s="312"/>
      <c r="E46" s="311"/>
      <c r="F46" s="310"/>
      <c r="G46" s="240"/>
      <c r="H46" s="240"/>
      <c r="I46" s="239"/>
      <c r="J46" s="240"/>
      <c r="K46" s="240"/>
      <c r="L46" s="239"/>
      <c r="M46" s="240"/>
      <c r="N46" s="240"/>
      <c r="O46" s="239"/>
      <c r="P46" s="309"/>
      <c r="Q46" s="237"/>
      <c r="R46" s="293"/>
      <c r="S46" s="293"/>
      <c r="T46" s="307"/>
      <c r="U46" s="306"/>
      <c r="V46" s="291"/>
      <c r="W46" s="291"/>
    </row>
    <row r="47" spans="1:34" x14ac:dyDescent="0.25">
      <c r="A47" s="235">
        <f t="shared" ref="A47:A52" si="49">AA4</f>
        <v>0</v>
      </c>
      <c r="B47" s="235">
        <f t="shared" ref="B47:B52" si="50">Z$9</f>
        <v>1000</v>
      </c>
      <c r="C47" s="312">
        <v>2000</v>
      </c>
      <c r="D47" s="312">
        <v>310</v>
      </c>
      <c r="E47" s="311">
        <f>C47/1000*3600/D47</f>
        <v>23.225806451612904</v>
      </c>
      <c r="F47" s="310">
        <f t="shared" ref="F47:F52" si="51">E47-$Q$7</f>
        <v>22.995806451612903</v>
      </c>
      <c r="G47" s="240">
        <v>60</v>
      </c>
      <c r="H47" s="240">
        <v>335</v>
      </c>
      <c r="I47" s="239">
        <f t="shared" ref="I47:I52" si="52">IF(AND(G47&gt;0,H47&gt;0), H47/(G47/60)*sg_corr_factor, 0)</f>
        <v>338.56850922105161</v>
      </c>
      <c r="J47" s="240">
        <v>60</v>
      </c>
      <c r="K47" s="240">
        <v>336</v>
      </c>
      <c r="L47" s="239">
        <f t="shared" ref="L47:L52" si="53">IF(AND(J47&gt;0,K47&gt;0), K47/(J47/60)*sg_corr_factor, 0)</f>
        <v>339.57916148738315</v>
      </c>
      <c r="M47" s="240">
        <v>60</v>
      </c>
      <c r="N47" s="240">
        <v>335</v>
      </c>
      <c r="O47" s="239">
        <f t="shared" ref="O47:O52" si="54">IF(AND(M47&gt;0,N47&gt;0), N47/(M47/60)*sg_corr_factor, 0)</f>
        <v>338.56850922105161</v>
      </c>
      <c r="P47" s="309">
        <f t="shared" ref="P47:P52" si="55">AVERAGE(I47,L47,O47)</f>
        <v>338.90539330982881</v>
      </c>
      <c r="Q47" s="237">
        <f t="shared" ref="Q47:Q52" si="56">P47/100*A47/100*0.8</f>
        <v>0</v>
      </c>
      <c r="R47" s="308">
        <f t="shared" ref="R47:R52" si="57">Q47/E47</f>
        <v>0</v>
      </c>
      <c r="S47" s="293"/>
      <c r="T47" s="307"/>
      <c r="U47" s="306"/>
      <c r="V47" s="291"/>
      <c r="W47" s="291"/>
      <c r="X47" s="249"/>
      <c r="Y47" s="288" t="s">
        <v>393</v>
      </c>
      <c r="Z47" s="248"/>
    </row>
    <row r="48" spans="1:34" x14ac:dyDescent="0.25">
      <c r="A48" s="235">
        <f t="shared" si="49"/>
        <v>100</v>
      </c>
      <c r="B48" s="235">
        <f t="shared" si="50"/>
        <v>1000</v>
      </c>
      <c r="C48" s="312">
        <v>2100</v>
      </c>
      <c r="D48" s="312">
        <v>300</v>
      </c>
      <c r="E48" s="311">
        <f>C48/1000*3600/D48</f>
        <v>25.2</v>
      </c>
      <c r="F48" s="310">
        <f t="shared" si="51"/>
        <v>24.97</v>
      </c>
      <c r="G48" s="240">
        <v>60</v>
      </c>
      <c r="H48" s="240">
        <v>327</v>
      </c>
      <c r="I48" s="239">
        <f t="shared" si="52"/>
        <v>330.48329109039963</v>
      </c>
      <c r="J48" s="240">
        <v>60</v>
      </c>
      <c r="K48" s="240">
        <v>327</v>
      </c>
      <c r="L48" s="239">
        <f t="shared" si="53"/>
        <v>330.48329109039963</v>
      </c>
      <c r="M48" s="240">
        <v>60</v>
      </c>
      <c r="N48" s="240">
        <v>328</v>
      </c>
      <c r="O48" s="239">
        <f t="shared" si="54"/>
        <v>331.49394335673117</v>
      </c>
      <c r="P48" s="309">
        <f t="shared" si="55"/>
        <v>330.82017517917683</v>
      </c>
      <c r="Q48" s="237">
        <f t="shared" si="56"/>
        <v>2.6465614014334147</v>
      </c>
      <c r="R48" s="308">
        <f t="shared" si="57"/>
        <v>0.10502227783465931</v>
      </c>
      <c r="S48" s="293"/>
      <c r="T48" s="307">
        <f>P48/$P$48</f>
        <v>1</v>
      </c>
      <c r="U48" s="306"/>
      <c r="V48" s="291"/>
      <c r="W48" s="291"/>
      <c r="AG48" s="286">
        <v>100</v>
      </c>
      <c r="AH48" s="286">
        <f>AG48/400*600</f>
        <v>150</v>
      </c>
    </row>
    <row r="49" spans="1:34" x14ac:dyDescent="0.25">
      <c r="A49" s="235">
        <f t="shared" si="49"/>
        <v>500</v>
      </c>
      <c r="B49" s="235">
        <f t="shared" si="50"/>
        <v>1000</v>
      </c>
      <c r="C49" s="312">
        <v>3100</v>
      </c>
      <c r="D49" s="312">
        <v>310</v>
      </c>
      <c r="E49" s="311">
        <f>C48/1000*3600/D48</f>
        <v>25.2</v>
      </c>
      <c r="F49" s="310">
        <f t="shared" si="51"/>
        <v>24.97</v>
      </c>
      <c r="G49" s="240">
        <v>60</v>
      </c>
      <c r="H49" s="240">
        <v>318</v>
      </c>
      <c r="I49" s="239">
        <f t="shared" si="52"/>
        <v>321.38742069341617</v>
      </c>
      <c r="J49" s="240">
        <v>60</v>
      </c>
      <c r="K49" s="240">
        <v>319</v>
      </c>
      <c r="L49" s="239">
        <f t="shared" si="53"/>
        <v>322.39807295974765</v>
      </c>
      <c r="M49" s="240">
        <v>60</v>
      </c>
      <c r="N49" s="240">
        <v>320</v>
      </c>
      <c r="O49" s="239">
        <f t="shared" si="54"/>
        <v>323.40872522607918</v>
      </c>
      <c r="P49" s="309">
        <f t="shared" si="55"/>
        <v>322.39807295974765</v>
      </c>
      <c r="Q49" s="237">
        <f t="shared" si="56"/>
        <v>12.895922918389907</v>
      </c>
      <c r="R49" s="308">
        <f t="shared" si="57"/>
        <v>0.51174297295198046</v>
      </c>
      <c r="S49" s="293"/>
      <c r="T49" s="307">
        <f>P49/$P$48</f>
        <v>0.97454175152749478</v>
      </c>
      <c r="U49" s="306"/>
      <c r="V49" s="291"/>
      <c r="W49" s="291"/>
      <c r="AG49" s="286">
        <v>200</v>
      </c>
      <c r="AH49" s="286">
        <f>AG49/400*600</f>
        <v>300</v>
      </c>
    </row>
    <row r="50" spans="1:34" x14ac:dyDescent="0.25">
      <c r="A50" s="235">
        <f t="shared" si="49"/>
        <v>1000</v>
      </c>
      <c r="B50" s="235">
        <f t="shared" si="50"/>
        <v>1000</v>
      </c>
      <c r="C50" s="312">
        <v>4250</v>
      </c>
      <c r="D50" s="312">
        <v>310</v>
      </c>
      <c r="E50" s="311">
        <f>C50/1000*3600/D50</f>
        <v>49.354838709677416</v>
      </c>
      <c r="F50" s="310">
        <f t="shared" si="51"/>
        <v>49.12483870967742</v>
      </c>
      <c r="G50" s="240">
        <v>60</v>
      </c>
      <c r="H50" s="240">
        <v>309</v>
      </c>
      <c r="I50" s="239">
        <f t="shared" si="52"/>
        <v>312.29155029643272</v>
      </c>
      <c r="J50" s="240">
        <v>60</v>
      </c>
      <c r="K50" s="240">
        <v>306</v>
      </c>
      <c r="L50" s="239">
        <f t="shared" si="53"/>
        <v>309.25959349743823</v>
      </c>
      <c r="M50" s="240">
        <v>60</v>
      </c>
      <c r="N50" s="240">
        <v>307</v>
      </c>
      <c r="O50" s="239">
        <f t="shared" si="54"/>
        <v>310.27024576376971</v>
      </c>
      <c r="P50" s="309">
        <f t="shared" si="55"/>
        <v>310.6071298525469</v>
      </c>
      <c r="Q50" s="237">
        <f t="shared" si="56"/>
        <v>24.848570388203754</v>
      </c>
      <c r="R50" s="308">
        <f t="shared" si="57"/>
        <v>0.50346776603550092</v>
      </c>
      <c r="S50" s="293"/>
      <c r="T50" s="307">
        <f>P50/$P$48</f>
        <v>0.93890020366598781</v>
      </c>
      <c r="U50" s="306"/>
      <c r="V50" s="291"/>
      <c r="W50" s="291"/>
      <c r="AG50" s="286">
        <v>300</v>
      </c>
      <c r="AH50" s="286">
        <f>AG50/400*600</f>
        <v>450</v>
      </c>
    </row>
    <row r="51" spans="1:34" x14ac:dyDescent="0.25">
      <c r="A51" s="235">
        <f t="shared" si="49"/>
        <v>2000</v>
      </c>
      <c r="B51" s="235">
        <f t="shared" si="50"/>
        <v>1000</v>
      </c>
      <c r="C51" s="312">
        <v>6500</v>
      </c>
      <c r="D51" s="312">
        <v>310</v>
      </c>
      <c r="E51" s="311">
        <f>C51/1000*3600/D51</f>
        <v>75.483870967741936</v>
      </c>
      <c r="F51" s="310">
        <f t="shared" si="51"/>
        <v>75.253870967741932</v>
      </c>
      <c r="G51" s="240">
        <v>60</v>
      </c>
      <c r="H51" s="240">
        <v>293</v>
      </c>
      <c r="I51" s="239">
        <f t="shared" si="52"/>
        <v>296.12111403512876</v>
      </c>
      <c r="J51" s="240">
        <v>60</v>
      </c>
      <c r="K51" s="240">
        <v>294</v>
      </c>
      <c r="L51" s="239">
        <f t="shared" si="53"/>
        <v>297.13176630146023</v>
      </c>
      <c r="M51" s="240">
        <v>60</v>
      </c>
      <c r="N51" s="240">
        <v>297</v>
      </c>
      <c r="O51" s="239">
        <f t="shared" si="54"/>
        <v>300.16372310045472</v>
      </c>
      <c r="P51" s="309">
        <f t="shared" si="55"/>
        <v>297.80553447901457</v>
      </c>
      <c r="Q51" s="237">
        <f t="shared" si="56"/>
        <v>47.648885516642338</v>
      </c>
      <c r="R51" s="308">
        <f t="shared" si="57"/>
        <v>0.63124591923756945</v>
      </c>
      <c r="S51" s="293"/>
      <c r="T51" s="307">
        <f>P51/$P$48</f>
        <v>0.90020366598778001</v>
      </c>
      <c r="U51" s="306"/>
      <c r="V51" s="291"/>
      <c r="W51" s="291"/>
      <c r="AG51" s="286">
        <v>400</v>
      </c>
      <c r="AH51" s="286">
        <f>AG51/400*600</f>
        <v>600</v>
      </c>
    </row>
    <row r="52" spans="1:34" x14ac:dyDescent="0.25">
      <c r="A52" s="235">
        <f t="shared" si="49"/>
        <v>3000</v>
      </c>
      <c r="B52" s="235">
        <f t="shared" si="50"/>
        <v>1000</v>
      </c>
      <c r="C52" s="312">
        <v>9100</v>
      </c>
      <c r="D52" s="312">
        <v>330</v>
      </c>
      <c r="E52" s="311">
        <f>C52/1000*3600/D52</f>
        <v>99.272727272727266</v>
      </c>
      <c r="F52" s="310">
        <f t="shared" si="51"/>
        <v>99.042727272727262</v>
      </c>
      <c r="G52" s="240">
        <v>60</v>
      </c>
      <c r="H52" s="240">
        <v>284</v>
      </c>
      <c r="I52" s="239">
        <f t="shared" si="52"/>
        <v>287.02524363814524</v>
      </c>
      <c r="J52" s="240">
        <v>60</v>
      </c>
      <c r="K52" s="240">
        <v>282</v>
      </c>
      <c r="L52" s="239">
        <f t="shared" si="53"/>
        <v>285.00393910548229</v>
      </c>
      <c r="M52" s="240">
        <v>60</v>
      </c>
      <c r="N52" s="240">
        <v>281</v>
      </c>
      <c r="O52" s="239">
        <f t="shared" si="54"/>
        <v>283.99328683915076</v>
      </c>
      <c r="P52" s="309">
        <f t="shared" si="55"/>
        <v>285.34082319425943</v>
      </c>
      <c r="Q52" s="237">
        <f t="shared" si="56"/>
        <v>68.481797566622262</v>
      </c>
      <c r="R52" s="308">
        <f t="shared" si="57"/>
        <v>0.68983495717293497</v>
      </c>
      <c r="S52" s="293"/>
      <c r="T52" s="307">
        <f>P52/$P$48</f>
        <v>0.86252545824847249</v>
      </c>
      <c r="U52" s="306"/>
      <c r="V52" s="291"/>
      <c r="W52" s="291"/>
    </row>
    <row r="53" spans="1:34" x14ac:dyDescent="0.25">
      <c r="A53" s="291"/>
      <c r="B53" s="235"/>
      <c r="C53" s="293"/>
      <c r="D53" s="293"/>
      <c r="E53" s="314"/>
      <c r="F53" s="301"/>
      <c r="G53" s="293"/>
      <c r="H53" s="291"/>
      <c r="I53" s="313"/>
      <c r="J53" s="313"/>
      <c r="K53" s="313"/>
      <c r="L53" s="313"/>
      <c r="M53" s="313"/>
      <c r="N53" s="313"/>
      <c r="O53" s="313"/>
      <c r="P53" s="313"/>
      <c r="Q53" s="245"/>
      <c r="R53" s="293"/>
      <c r="S53" s="293"/>
      <c r="T53" s="307"/>
      <c r="U53" s="306"/>
      <c r="V53" s="291"/>
      <c r="W53" s="291"/>
    </row>
    <row r="54" spans="1:34" x14ac:dyDescent="0.25">
      <c r="A54" s="235">
        <f t="shared" ref="A54:A59" si="58">AA4</f>
        <v>0</v>
      </c>
      <c r="B54" s="244">
        <f>Z10</f>
        <v>1100</v>
      </c>
      <c r="C54" s="312">
        <v>2200</v>
      </c>
      <c r="D54" s="312">
        <v>310</v>
      </c>
      <c r="E54" s="311">
        <f t="shared" ref="E54:E59" si="59">C54/1000*3600/D54</f>
        <v>25.548387096774196</v>
      </c>
      <c r="F54" s="310">
        <f t="shared" ref="F54:F59" si="60">E54-$Q$7</f>
        <v>25.318387096774195</v>
      </c>
      <c r="G54" s="240">
        <v>60</v>
      </c>
      <c r="H54" s="240">
        <v>364</v>
      </c>
      <c r="I54" s="239">
        <f t="shared" ref="I54:I59" si="61">IF(AND(G54&gt;0,H54&gt;0), H54/(G54/60)*sg_corr_factor, 0)</f>
        <v>367.87742494466505</v>
      </c>
      <c r="J54" s="240">
        <v>60</v>
      </c>
      <c r="K54" s="240">
        <v>365</v>
      </c>
      <c r="L54" s="239">
        <f t="shared" ref="L54:L59" si="62">IF(AND(J54&gt;0,K54&gt;0), K54/(J54/60)*sg_corr_factor, 0)</f>
        <v>368.88807721099653</v>
      </c>
      <c r="M54" s="240">
        <v>60</v>
      </c>
      <c r="N54" s="240">
        <v>365</v>
      </c>
      <c r="O54" s="239">
        <f t="shared" ref="O54:O59" si="63">IF(AND(M54&gt;0,N54&gt;0), N54/(M54/60)*sg_corr_factor, 0)</f>
        <v>368.88807721099653</v>
      </c>
      <c r="P54" s="309">
        <f t="shared" ref="P54:P59" si="64">AVERAGE(I54,L54,O54)</f>
        <v>368.55119312221933</v>
      </c>
      <c r="Q54" s="237">
        <f t="shared" ref="Q54:Q59" si="65">P54/100*A54/100*0.8</f>
        <v>0</v>
      </c>
      <c r="R54" s="308">
        <f t="shared" ref="R54:R59" si="66">Q54/E54</f>
        <v>0</v>
      </c>
      <c r="S54" s="293"/>
      <c r="T54" s="307"/>
      <c r="U54" s="306"/>
      <c r="V54" s="291"/>
      <c r="W54" s="291"/>
      <c r="Y54" s="288" t="s">
        <v>393</v>
      </c>
    </row>
    <row r="55" spans="1:34" x14ac:dyDescent="0.25">
      <c r="A55" s="235">
        <f t="shared" si="58"/>
        <v>100</v>
      </c>
      <c r="B55" s="244">
        <f>B54</f>
        <v>1100</v>
      </c>
      <c r="C55" s="312">
        <v>2500</v>
      </c>
      <c r="D55" s="312">
        <v>310</v>
      </c>
      <c r="E55" s="311">
        <f t="shared" si="59"/>
        <v>29.032258064516128</v>
      </c>
      <c r="F55" s="310">
        <f t="shared" si="60"/>
        <v>28.802258064516128</v>
      </c>
      <c r="G55" s="240">
        <v>60</v>
      </c>
      <c r="H55" s="240">
        <v>356</v>
      </c>
      <c r="I55" s="239">
        <f t="shared" si="61"/>
        <v>359.79220681401307</v>
      </c>
      <c r="J55" s="240">
        <v>60</v>
      </c>
      <c r="K55" s="240">
        <v>355</v>
      </c>
      <c r="L55" s="239">
        <f t="shared" si="62"/>
        <v>358.78155454768159</v>
      </c>
      <c r="M55" s="240">
        <v>60</v>
      </c>
      <c r="N55" s="240">
        <v>356</v>
      </c>
      <c r="O55" s="239">
        <f t="shared" si="63"/>
        <v>359.79220681401307</v>
      </c>
      <c r="P55" s="309">
        <f t="shared" si="64"/>
        <v>359.45532272523587</v>
      </c>
      <c r="Q55" s="237">
        <f t="shared" si="65"/>
        <v>2.8756425818018871</v>
      </c>
      <c r="R55" s="308">
        <f t="shared" si="66"/>
        <v>9.9049911150953893E-2</v>
      </c>
      <c r="S55" s="293"/>
      <c r="T55" s="307">
        <f>P55/$P$55</f>
        <v>1</v>
      </c>
      <c r="U55" s="306"/>
      <c r="V55" s="291"/>
      <c r="W55" s="291"/>
    </row>
    <row r="56" spans="1:34" x14ac:dyDescent="0.25">
      <c r="A56" s="235">
        <f t="shared" si="58"/>
        <v>500</v>
      </c>
      <c r="B56" s="244">
        <f>B55</f>
        <v>1100</v>
      </c>
      <c r="C56" s="312">
        <v>3400</v>
      </c>
      <c r="D56" s="312">
        <v>300</v>
      </c>
      <c r="E56" s="311">
        <f t="shared" si="59"/>
        <v>40.799999999999997</v>
      </c>
      <c r="F56" s="310">
        <f t="shared" si="60"/>
        <v>40.57</v>
      </c>
      <c r="G56" s="240">
        <v>60</v>
      </c>
      <c r="H56" s="240">
        <v>344</v>
      </c>
      <c r="I56" s="239">
        <f t="shared" si="61"/>
        <v>347.66437961803513</v>
      </c>
      <c r="J56" s="240">
        <v>60</v>
      </c>
      <c r="K56" s="240">
        <v>345</v>
      </c>
      <c r="L56" s="239">
        <f t="shared" si="62"/>
        <v>348.6750318843666</v>
      </c>
      <c r="M56" s="240">
        <v>60</v>
      </c>
      <c r="N56" s="240">
        <v>347</v>
      </c>
      <c r="O56" s="239">
        <f t="shared" si="63"/>
        <v>350.69633641702961</v>
      </c>
      <c r="P56" s="309">
        <f t="shared" si="64"/>
        <v>349.01191597314374</v>
      </c>
      <c r="Q56" s="237">
        <f t="shared" si="65"/>
        <v>13.96047663892575</v>
      </c>
      <c r="R56" s="308">
        <f t="shared" si="66"/>
        <v>0.34216854507170957</v>
      </c>
      <c r="S56" s="293"/>
      <c r="T56" s="307">
        <f>P56/$P$55</f>
        <v>0.97094657919400185</v>
      </c>
      <c r="U56" s="306"/>
      <c r="V56" s="291"/>
      <c r="W56" s="291"/>
    </row>
    <row r="57" spans="1:34" x14ac:dyDescent="0.25">
      <c r="A57" s="235">
        <f t="shared" si="58"/>
        <v>1000</v>
      </c>
      <c r="B57" s="244">
        <f>B56</f>
        <v>1100</v>
      </c>
      <c r="C57" s="312">
        <v>5600</v>
      </c>
      <c r="D57" s="312">
        <v>360</v>
      </c>
      <c r="E57" s="311">
        <f t="shared" si="59"/>
        <v>56</v>
      </c>
      <c r="F57" s="310">
        <f t="shared" si="60"/>
        <v>55.77</v>
      </c>
      <c r="G57" s="240">
        <v>60</v>
      </c>
      <c r="H57" s="240">
        <v>334</v>
      </c>
      <c r="I57" s="239">
        <f t="shared" si="61"/>
        <v>337.55785695472014</v>
      </c>
      <c r="J57" s="240">
        <v>60</v>
      </c>
      <c r="K57" s="240">
        <v>332</v>
      </c>
      <c r="L57" s="239">
        <f t="shared" si="62"/>
        <v>335.53655242205713</v>
      </c>
      <c r="M57" s="240">
        <v>60</v>
      </c>
      <c r="N57" s="240">
        <v>332</v>
      </c>
      <c r="O57" s="239">
        <f t="shared" si="63"/>
        <v>335.53655242205713</v>
      </c>
      <c r="P57" s="309">
        <f t="shared" si="64"/>
        <v>336.21032059961152</v>
      </c>
      <c r="Q57" s="237">
        <f t="shared" si="65"/>
        <v>26.896825647968924</v>
      </c>
      <c r="R57" s="308">
        <f t="shared" si="66"/>
        <v>0.4803004579994451</v>
      </c>
      <c r="S57" s="293"/>
      <c r="T57" s="307">
        <f>P57/$P$55</f>
        <v>0.93533270852858508</v>
      </c>
      <c r="U57" s="306"/>
      <c r="V57" s="291"/>
      <c r="W57" s="291"/>
    </row>
    <row r="58" spans="1:34" x14ac:dyDescent="0.25">
      <c r="A58" s="235">
        <f t="shared" si="58"/>
        <v>2000</v>
      </c>
      <c r="B58" s="244">
        <f>B57</f>
        <v>1100</v>
      </c>
      <c r="C58" s="312">
        <v>7300</v>
      </c>
      <c r="D58" s="312">
        <v>310</v>
      </c>
      <c r="E58" s="311">
        <f t="shared" si="59"/>
        <v>84.774193548387103</v>
      </c>
      <c r="F58" s="310">
        <f t="shared" si="60"/>
        <v>84.544193548387099</v>
      </c>
      <c r="G58" s="240">
        <v>60</v>
      </c>
      <c r="H58" s="240">
        <v>320</v>
      </c>
      <c r="I58" s="239">
        <f t="shared" si="61"/>
        <v>323.40872522607918</v>
      </c>
      <c r="J58" s="240">
        <v>60</v>
      </c>
      <c r="K58" s="240">
        <v>318</v>
      </c>
      <c r="L58" s="239">
        <f t="shared" si="62"/>
        <v>321.38742069341617</v>
      </c>
      <c r="M58" s="240">
        <v>60</v>
      </c>
      <c r="N58" s="240">
        <v>319</v>
      </c>
      <c r="O58" s="239">
        <f t="shared" si="63"/>
        <v>322.39807295974765</v>
      </c>
      <c r="P58" s="309">
        <f t="shared" si="64"/>
        <v>322.39807295974765</v>
      </c>
      <c r="Q58" s="237">
        <f t="shared" si="65"/>
        <v>51.583691673559628</v>
      </c>
      <c r="R58" s="308">
        <f t="shared" si="66"/>
        <v>0.60848342537303968</v>
      </c>
      <c r="S58" s="293"/>
      <c r="T58" s="307">
        <f>P58/$P$55</f>
        <v>0.89690721649484539</v>
      </c>
      <c r="U58" s="306"/>
      <c r="V58" s="291"/>
      <c r="W58" s="291"/>
    </row>
    <row r="59" spans="1:34" x14ac:dyDescent="0.25">
      <c r="A59" s="235">
        <f t="shared" si="58"/>
        <v>3000</v>
      </c>
      <c r="B59" s="244">
        <f>B58</f>
        <v>1100</v>
      </c>
      <c r="C59" s="312">
        <v>9400</v>
      </c>
      <c r="D59" s="312">
        <v>310</v>
      </c>
      <c r="E59" s="311">
        <f t="shared" si="59"/>
        <v>109.16129032258064</v>
      </c>
      <c r="F59" s="310">
        <f t="shared" si="60"/>
        <v>108.93129032258064</v>
      </c>
      <c r="G59" s="240">
        <v>60</v>
      </c>
      <c r="H59" s="240">
        <v>305</v>
      </c>
      <c r="I59" s="239">
        <f t="shared" si="61"/>
        <v>308.2489412311067</v>
      </c>
      <c r="J59" s="240">
        <v>60</v>
      </c>
      <c r="K59" s="240">
        <v>304</v>
      </c>
      <c r="L59" s="239">
        <f t="shared" si="62"/>
        <v>307.23828896477522</v>
      </c>
      <c r="M59" s="240">
        <v>60</v>
      </c>
      <c r="N59" s="240">
        <v>306</v>
      </c>
      <c r="O59" s="239">
        <f t="shared" si="63"/>
        <v>309.25959349743823</v>
      </c>
      <c r="P59" s="309">
        <f t="shared" si="64"/>
        <v>308.2489412311067</v>
      </c>
      <c r="Q59" s="237">
        <f t="shared" si="65"/>
        <v>73.979745895465598</v>
      </c>
      <c r="R59" s="308">
        <f t="shared" si="66"/>
        <v>0.67771043816768128</v>
      </c>
      <c r="S59" s="293"/>
      <c r="T59" s="307">
        <f>P59/$P$55</f>
        <v>0.85754451733833181</v>
      </c>
      <c r="U59" s="306"/>
      <c r="V59" s="291"/>
      <c r="W59" s="291"/>
    </row>
    <row r="60" spans="1:34" x14ac:dyDescent="0.25">
      <c r="A60" s="234"/>
      <c r="B60" s="235"/>
      <c r="C60" s="293"/>
      <c r="D60" s="293"/>
      <c r="E60" s="293"/>
      <c r="F60" s="293"/>
      <c r="G60" s="293"/>
      <c r="H60" s="291"/>
      <c r="I60" s="291"/>
      <c r="J60" s="291"/>
      <c r="K60" s="291"/>
      <c r="L60" s="291"/>
      <c r="M60" s="291"/>
      <c r="N60" s="291"/>
      <c r="O60" s="291"/>
      <c r="P60" s="291"/>
      <c r="Q60" s="234"/>
      <c r="R60" s="293"/>
      <c r="S60" s="293"/>
      <c r="T60" s="307"/>
      <c r="U60" s="306"/>
      <c r="V60" s="291"/>
      <c r="W60" s="291"/>
    </row>
    <row r="61" spans="1:34" x14ac:dyDescent="0.25">
      <c r="A61" s="234"/>
      <c r="B61" s="235"/>
      <c r="C61" s="293"/>
      <c r="D61" s="293"/>
      <c r="E61" s="293"/>
      <c r="F61" s="293"/>
      <c r="G61" s="293"/>
      <c r="H61" s="291"/>
      <c r="I61" s="291"/>
      <c r="J61" s="291"/>
      <c r="K61" s="291"/>
      <c r="L61" s="291"/>
      <c r="M61" s="291"/>
      <c r="N61" s="291"/>
      <c r="O61" s="291"/>
      <c r="P61" s="291"/>
      <c r="Q61" s="234"/>
      <c r="R61" s="293"/>
      <c r="S61" s="293"/>
      <c r="T61" s="307"/>
      <c r="U61" s="306"/>
      <c r="V61" s="291"/>
      <c r="W61" s="291"/>
    </row>
    <row r="62" spans="1:34" x14ac:dyDescent="0.25">
      <c r="A62" s="234"/>
      <c r="B62" s="235"/>
      <c r="C62" s="293"/>
      <c r="D62" s="293"/>
      <c r="E62" s="293"/>
      <c r="F62" s="293"/>
      <c r="G62" s="293"/>
      <c r="H62" s="291"/>
      <c r="I62" s="291"/>
      <c r="J62" s="291"/>
      <c r="K62" s="291"/>
      <c r="L62" s="291"/>
      <c r="M62" s="291"/>
      <c r="N62" s="291"/>
      <c r="O62" s="291"/>
      <c r="P62" s="291"/>
      <c r="Q62" s="234"/>
      <c r="R62" s="293"/>
      <c r="S62" s="293"/>
      <c r="T62" s="307"/>
      <c r="U62" s="306"/>
      <c r="V62" s="291"/>
      <c r="W62" s="291"/>
    </row>
    <row r="64" spans="1:34" x14ac:dyDescent="0.25">
      <c r="E64" s="305">
        <f>E59/746</f>
        <v>0.14632880740292312</v>
      </c>
      <c r="F64" s="286" t="s">
        <v>396</v>
      </c>
      <c r="I64" s="286" t="s">
        <v>397</v>
      </c>
      <c r="K64" s="304"/>
      <c r="S64" s="219" t="s">
        <v>18</v>
      </c>
      <c r="U64" s="286" t="s">
        <v>345</v>
      </c>
    </row>
    <row r="65" spans="1:26" x14ac:dyDescent="0.25">
      <c r="E65" s="303">
        <f>E59/[2]COMET2_DH300!F51</f>
        <v>0.7492709885550185</v>
      </c>
      <c r="F65" s="286" t="s">
        <v>398</v>
      </c>
      <c r="R65" s="221" t="s">
        <v>205</v>
      </c>
      <c r="S65" s="220">
        <f>B12</f>
        <v>100</v>
      </c>
      <c r="T65" s="219">
        <f>B19</f>
        <v>200</v>
      </c>
      <c r="U65" s="219">
        <f>B26</f>
        <v>400</v>
      </c>
      <c r="V65" s="219">
        <f>B33</f>
        <v>600</v>
      </c>
      <c r="W65" s="219">
        <f>B40</f>
        <v>800</v>
      </c>
      <c r="X65" s="219">
        <f>B47</f>
        <v>1000</v>
      </c>
      <c r="Y65" s="219">
        <f>B54</f>
        <v>1100</v>
      </c>
    </row>
    <row r="66" spans="1:26" x14ac:dyDescent="0.25">
      <c r="I66" s="286">
        <v>1.026</v>
      </c>
      <c r="R66" s="215">
        <f t="shared" ref="R66:R71" si="67">AA4</f>
        <v>0</v>
      </c>
      <c r="S66" s="301">
        <f t="shared" ref="S66:S71" si="68">W12</f>
        <v>0</v>
      </c>
      <c r="T66" s="300">
        <f t="shared" ref="T66:T71" si="69">W19</f>
        <v>0</v>
      </c>
      <c r="U66" s="300">
        <f t="shared" ref="U66:U71" si="70">P26</f>
        <v>137</v>
      </c>
      <c r="V66" s="300">
        <f t="shared" ref="V66:V71" si="71">P33</f>
        <v>202.13045326629947</v>
      </c>
      <c r="W66" s="300">
        <f t="shared" ref="W66:W71" si="72">P40</f>
        <v>269.17038693295552</v>
      </c>
      <c r="X66" s="300">
        <f t="shared" ref="X66:X71" si="73">P47</f>
        <v>338.90539330982881</v>
      </c>
      <c r="Y66" s="300">
        <f t="shared" ref="Y66:Y71" si="74">P54</f>
        <v>368.55119312221933</v>
      </c>
    </row>
    <row r="67" spans="1:26" x14ac:dyDescent="0.25">
      <c r="I67" s="286">
        <v>1.024</v>
      </c>
      <c r="R67" s="215">
        <f t="shared" si="67"/>
        <v>100</v>
      </c>
      <c r="S67" s="301">
        <f t="shared" si="68"/>
        <v>0</v>
      </c>
      <c r="T67" s="300">
        <f t="shared" si="69"/>
        <v>0</v>
      </c>
      <c r="U67" s="300">
        <f t="shared" si="70"/>
        <v>135</v>
      </c>
      <c r="V67" s="300">
        <f t="shared" si="71"/>
        <v>200.10914873363649</v>
      </c>
      <c r="W67" s="300">
        <f t="shared" si="72"/>
        <v>263.10647333496649</v>
      </c>
      <c r="X67" s="300">
        <f t="shared" si="73"/>
        <v>330.82017517917683</v>
      </c>
      <c r="Y67" s="300">
        <f t="shared" si="74"/>
        <v>359.45532272523587</v>
      </c>
    </row>
    <row r="68" spans="1:26" x14ac:dyDescent="0.25">
      <c r="H68" s="286" t="s">
        <v>399</v>
      </c>
      <c r="I68" s="286">
        <f>PI()*(I66/2)*(I67/2)</f>
        <v>0.82515816002128073</v>
      </c>
      <c r="J68" s="286" t="s">
        <v>400</v>
      </c>
      <c r="K68" s="286" t="s">
        <v>401</v>
      </c>
      <c r="R68" s="215">
        <f t="shared" si="67"/>
        <v>500</v>
      </c>
      <c r="S68" s="301">
        <f t="shared" si="68"/>
        <v>0</v>
      </c>
      <c r="T68" s="300">
        <f t="shared" si="69"/>
        <v>0</v>
      </c>
      <c r="U68" s="300">
        <f t="shared" si="70"/>
        <v>131</v>
      </c>
      <c r="V68" s="300">
        <f t="shared" si="71"/>
        <v>195.72965557953333</v>
      </c>
      <c r="W68" s="300">
        <f t="shared" si="72"/>
        <v>255.35813929309168</v>
      </c>
      <c r="X68" s="300">
        <f t="shared" si="73"/>
        <v>322.39807295974765</v>
      </c>
      <c r="Y68" s="300">
        <f t="shared" si="74"/>
        <v>349.01191597314374</v>
      </c>
    </row>
    <row r="69" spans="1:26" x14ac:dyDescent="0.25">
      <c r="H69" s="286" t="s">
        <v>402</v>
      </c>
      <c r="I69" s="286">
        <v>0.81646099999999999</v>
      </c>
      <c r="J69" s="286" t="s">
        <v>400</v>
      </c>
      <c r="K69" s="286" t="s">
        <v>403</v>
      </c>
      <c r="R69" s="215">
        <f t="shared" si="67"/>
        <v>1000</v>
      </c>
      <c r="S69" s="301">
        <f t="shared" si="68"/>
        <v>0</v>
      </c>
      <c r="T69" s="300">
        <f t="shared" si="69"/>
        <v>0</v>
      </c>
      <c r="U69" s="300">
        <f t="shared" si="70"/>
        <v>127</v>
      </c>
      <c r="V69" s="300">
        <f t="shared" si="71"/>
        <v>187.30755336010418</v>
      </c>
      <c r="W69" s="300">
        <f t="shared" si="72"/>
        <v>248.28357342877121</v>
      </c>
      <c r="X69" s="300">
        <f t="shared" si="73"/>
        <v>310.6071298525469</v>
      </c>
      <c r="Y69" s="300">
        <f t="shared" si="74"/>
        <v>336.21032059961152</v>
      </c>
    </row>
    <row r="70" spans="1:26" x14ac:dyDescent="0.25">
      <c r="H70" s="286" t="s">
        <v>404</v>
      </c>
      <c r="I70" s="302">
        <f>((I68-I69)/I69)+1</f>
        <v>1.0106522663314974</v>
      </c>
      <c r="K70" s="286" t="s">
        <v>405</v>
      </c>
      <c r="R70" s="215">
        <f t="shared" si="67"/>
        <v>2000</v>
      </c>
      <c r="S70" s="301">
        <f t="shared" si="68"/>
        <v>0</v>
      </c>
      <c r="T70" s="300">
        <f t="shared" si="69"/>
        <v>0</v>
      </c>
      <c r="U70" s="300">
        <f t="shared" si="70"/>
        <v>123</v>
      </c>
      <c r="V70" s="300">
        <f t="shared" si="71"/>
        <v>178.88545114067506</v>
      </c>
      <c r="W70" s="300">
        <f t="shared" si="72"/>
        <v>232.45002125624441</v>
      </c>
      <c r="X70" s="300">
        <f t="shared" si="73"/>
        <v>297.80553447901457</v>
      </c>
      <c r="Y70" s="300">
        <f t="shared" si="74"/>
        <v>322.39807295974765</v>
      </c>
    </row>
    <row r="71" spans="1:26" x14ac:dyDescent="0.25">
      <c r="R71" s="215">
        <f t="shared" si="67"/>
        <v>3000</v>
      </c>
      <c r="S71" s="301">
        <f t="shared" si="68"/>
        <v>0</v>
      </c>
      <c r="T71" s="300">
        <f t="shared" si="69"/>
        <v>0</v>
      </c>
      <c r="U71" s="300">
        <f t="shared" si="70"/>
        <v>115</v>
      </c>
      <c r="V71" s="300">
        <f t="shared" si="71"/>
        <v>171.47400118757741</v>
      </c>
      <c r="W71" s="300">
        <f t="shared" si="72"/>
        <v>171.59783994972463</v>
      </c>
      <c r="X71" s="300">
        <f t="shared" si="73"/>
        <v>285.34082319425943</v>
      </c>
      <c r="Y71" s="300">
        <f t="shared" si="74"/>
        <v>308.2489412311067</v>
      </c>
    </row>
    <row r="72" spans="1:26" x14ac:dyDescent="0.25">
      <c r="R72" s="225"/>
    </row>
    <row r="73" spans="1:26" x14ac:dyDescent="0.25">
      <c r="R73" s="286">
        <f>B81</f>
        <v>40</v>
      </c>
      <c r="S73" s="286">
        <f t="shared" ref="S73:Y73" si="75">_xlfn.FORECAST.LINEAR($B$81,S66:S71,$R$66:$R$71)</f>
        <v>0</v>
      </c>
      <c r="T73" s="286">
        <f t="shared" si="75"/>
        <v>0</v>
      </c>
      <c r="U73" s="286">
        <f t="shared" si="75"/>
        <v>135.23828571428572</v>
      </c>
      <c r="V73" s="286">
        <f t="shared" si="75"/>
        <v>200.14886897191326</v>
      </c>
      <c r="W73" s="286">
        <f t="shared" si="75"/>
        <v>270.58240546151291</v>
      </c>
      <c r="X73" s="286">
        <f t="shared" si="75"/>
        <v>332.17281292191552</v>
      </c>
      <c r="Y73" s="286">
        <f t="shared" si="75"/>
        <v>360.64340061165672</v>
      </c>
      <c r="Z73" s="286" t="s">
        <v>28</v>
      </c>
    </row>
    <row r="74" spans="1:26" x14ac:dyDescent="0.25">
      <c r="Q74" s="286" t="s">
        <v>28</v>
      </c>
      <c r="R74" s="292">
        <f>B80</f>
        <v>100</v>
      </c>
      <c r="S74" s="299">
        <f>_xlfn.FORECAST.LINEAR(R74,S65:Y65,S73:Y73)</f>
        <v>377.79652139273668</v>
      </c>
      <c r="T74" s="287" t="s">
        <v>18</v>
      </c>
    </row>
    <row r="78" spans="1:26" x14ac:dyDescent="0.25">
      <c r="A78" s="223" t="s">
        <v>346</v>
      </c>
      <c r="B78" s="288">
        <v>1670</v>
      </c>
      <c r="C78" s="286" t="s">
        <v>28</v>
      </c>
    </row>
    <row r="79" spans="1:26" x14ac:dyDescent="0.25">
      <c r="B79" s="288">
        <v>1000</v>
      </c>
      <c r="C79" s="286" t="s">
        <v>18</v>
      </c>
    </row>
    <row r="80" spans="1:26" x14ac:dyDescent="0.25">
      <c r="A80" s="286" t="s">
        <v>349</v>
      </c>
      <c r="B80" s="298">
        <f>Q</f>
        <v>100</v>
      </c>
      <c r="C80" s="286" t="s">
        <v>28</v>
      </c>
    </row>
    <row r="81" spans="1:23" x14ac:dyDescent="0.25">
      <c r="A81" s="286" t="s">
        <v>350</v>
      </c>
      <c r="B81" s="298">
        <f>Pavg</f>
        <v>40</v>
      </c>
      <c r="C81" s="286">
        <v>1000</v>
      </c>
      <c r="D81" s="286" t="s">
        <v>351</v>
      </c>
    </row>
    <row r="82" spans="1:23" x14ac:dyDescent="0.25">
      <c r="A82" s="286" t="s">
        <v>352</v>
      </c>
      <c r="B82" s="288">
        <v>0</v>
      </c>
      <c r="C82" s="286" t="s">
        <v>353</v>
      </c>
      <c r="E82" s="286" t="s">
        <v>354</v>
      </c>
    </row>
    <row r="83" spans="1:23" x14ac:dyDescent="0.25">
      <c r="A83" s="286" t="s">
        <v>355</v>
      </c>
      <c r="B83" s="288">
        <f>S74</f>
        <v>377.79652139273668</v>
      </c>
      <c r="T83" s="297">
        <v>100</v>
      </c>
      <c r="U83" s="294"/>
      <c r="V83" s="286">
        <v>200</v>
      </c>
    </row>
    <row r="84" spans="1:23" x14ac:dyDescent="0.25">
      <c r="A84" s="286" t="s">
        <v>356</v>
      </c>
      <c r="B84" s="288">
        <f>(1+(B81/C81*B82))*B83</f>
        <v>377.79652139273668</v>
      </c>
      <c r="T84" s="287" t="s">
        <v>347</v>
      </c>
      <c r="U84" s="286" t="s">
        <v>348</v>
      </c>
      <c r="V84" s="286" t="s">
        <v>347</v>
      </c>
      <c r="W84" s="286" t="s">
        <v>348</v>
      </c>
    </row>
    <row r="85" spans="1:23" x14ac:dyDescent="0.25">
      <c r="A85" s="286" t="s">
        <v>357</v>
      </c>
      <c r="T85" s="294">
        <f t="shared" ref="T85:T90" si="76">C88</f>
        <v>2.17</v>
      </c>
      <c r="U85" s="296">
        <f t="shared" ref="U85:U90" si="77">S66</f>
        <v>0</v>
      </c>
      <c r="V85" s="286">
        <f t="shared" ref="V85:V90" si="78">D88</f>
        <v>4.57</v>
      </c>
      <c r="W85" s="295">
        <f t="shared" ref="W85:W90" si="79">T66</f>
        <v>0</v>
      </c>
    </row>
    <row r="86" spans="1:23" x14ac:dyDescent="0.25">
      <c r="A86" s="221" t="s">
        <v>205</v>
      </c>
      <c r="E86" s="286" t="s">
        <v>358</v>
      </c>
      <c r="H86" s="286" t="s">
        <v>359</v>
      </c>
      <c r="T86" s="294">
        <f t="shared" si="76"/>
        <v>3</v>
      </c>
      <c r="U86" s="296">
        <f t="shared" si="77"/>
        <v>0</v>
      </c>
      <c r="V86" s="286">
        <f t="shared" si="78"/>
        <v>5.4</v>
      </c>
      <c r="W86" s="295">
        <f t="shared" si="79"/>
        <v>0</v>
      </c>
    </row>
    <row r="87" spans="1:23" x14ac:dyDescent="0.25">
      <c r="A87" s="219" t="s">
        <v>18</v>
      </c>
      <c r="B87" s="288">
        <v>0.1</v>
      </c>
      <c r="C87" s="220">
        <f>B12</f>
        <v>100</v>
      </c>
      <c r="D87" s="219">
        <f>B19</f>
        <v>200</v>
      </c>
      <c r="E87" s="219">
        <f>B26</f>
        <v>400</v>
      </c>
      <c r="F87" s="219">
        <f>B33</f>
        <v>600</v>
      </c>
      <c r="G87" s="219">
        <f>B40</f>
        <v>800</v>
      </c>
      <c r="H87" s="219">
        <f>B47</f>
        <v>1000</v>
      </c>
      <c r="I87" s="219">
        <f>B54</f>
        <v>1100</v>
      </c>
      <c r="J87" s="286">
        <f t="shared" ref="J87:J93" si="80">H87*10</f>
        <v>10000</v>
      </c>
      <c r="L87" s="219"/>
      <c r="M87" s="219"/>
      <c r="N87" s="219"/>
      <c r="O87" s="219"/>
      <c r="T87" s="294">
        <f t="shared" si="76"/>
        <v>4.8</v>
      </c>
      <c r="U87" s="296">
        <f t="shared" si="77"/>
        <v>0</v>
      </c>
      <c r="V87" s="286">
        <f t="shared" si="78"/>
        <v>9</v>
      </c>
      <c r="W87" s="295">
        <f t="shared" si="79"/>
        <v>0</v>
      </c>
    </row>
    <row r="88" spans="1:23" x14ac:dyDescent="0.25">
      <c r="A88" s="215">
        <f>AA4</f>
        <v>0</v>
      </c>
      <c r="B88" s="288">
        <f t="shared" ref="B88:B93" si="81">$Q$7</f>
        <v>0.22999999999999998</v>
      </c>
      <c r="C88" s="293">
        <f>F12</f>
        <v>2.17</v>
      </c>
      <c r="D88" s="291">
        <f>F19</f>
        <v>4.57</v>
      </c>
      <c r="E88" s="291">
        <f t="shared" ref="E88:E93" si="82">F26</f>
        <v>7.57</v>
      </c>
      <c r="F88" s="291">
        <f t="shared" ref="F88:F93" si="83">F33</f>
        <v>12.544193548387097</v>
      </c>
      <c r="G88" s="291">
        <f t="shared" ref="G88:G93" si="84">F40</f>
        <v>18.37</v>
      </c>
      <c r="H88" s="291">
        <f t="shared" ref="H88:H93" si="85">F47</f>
        <v>22.995806451612903</v>
      </c>
      <c r="I88" s="291">
        <f t="shared" ref="I88:I93" si="86">F54</f>
        <v>25.318387096774195</v>
      </c>
      <c r="J88" s="286">
        <f t="shared" si="80"/>
        <v>229.95806451612904</v>
      </c>
      <c r="K88" s="292">
        <f t="shared" ref="K88:K93" ca="1" si="87">_xlfn.FORECAST.LINEAR(__RPM1,OFFSET(B88:H88,0,MATCH(__RPM1,$B$87:$H$87,1)-1,1,2),OFFSET($B$87:$H$87,0,MATCH(__RPM1,$B$87:$H$87,1)-1,1,2))</f>
        <v>7.23694782089105</v>
      </c>
      <c r="L88" s="291"/>
      <c r="M88" s="291"/>
      <c r="N88" s="291"/>
      <c r="O88" s="291"/>
      <c r="T88" s="294">
        <f t="shared" si="76"/>
        <v>9.6</v>
      </c>
      <c r="U88" s="296">
        <f t="shared" si="77"/>
        <v>0</v>
      </c>
      <c r="V88" s="286">
        <f t="shared" si="78"/>
        <v>16.363636363636363</v>
      </c>
      <c r="W88" s="295">
        <f t="shared" si="79"/>
        <v>0</v>
      </c>
    </row>
    <row r="89" spans="1:23" x14ac:dyDescent="0.25">
      <c r="A89" s="215">
        <f>AA5</f>
        <v>100</v>
      </c>
      <c r="B89" s="288">
        <f t="shared" si="81"/>
        <v>0.22999999999999998</v>
      </c>
      <c r="C89" s="293">
        <f>E13</f>
        <v>3</v>
      </c>
      <c r="D89" s="291">
        <f>E20</f>
        <v>5.4</v>
      </c>
      <c r="E89" s="291">
        <f t="shared" si="82"/>
        <v>8.6531168831168834</v>
      </c>
      <c r="F89" s="291">
        <f t="shared" si="83"/>
        <v>13.705483870967742</v>
      </c>
      <c r="G89" s="291">
        <f t="shared" si="84"/>
        <v>21.37</v>
      </c>
      <c r="H89" s="291">
        <f t="shared" si="85"/>
        <v>24.97</v>
      </c>
      <c r="I89" s="291">
        <f t="shared" si="86"/>
        <v>28.802258064516128</v>
      </c>
      <c r="J89" s="286">
        <f t="shared" si="80"/>
        <v>249.7</v>
      </c>
      <c r="K89" s="292">
        <f t="shared" ca="1" si="87"/>
        <v>8.2919643275108186</v>
      </c>
      <c r="L89" s="291"/>
      <c r="M89" s="291"/>
      <c r="N89" s="291"/>
      <c r="O89" s="291"/>
      <c r="T89" s="294">
        <f t="shared" si="76"/>
        <v>17.399999999999999</v>
      </c>
      <c r="U89" s="296">
        <f t="shared" si="77"/>
        <v>0</v>
      </c>
      <c r="V89" s="286">
        <f t="shared" si="78"/>
        <v>38.322580645161288</v>
      </c>
      <c r="W89" s="295">
        <f t="shared" si="79"/>
        <v>0</v>
      </c>
    </row>
    <row r="90" spans="1:23" x14ac:dyDescent="0.25">
      <c r="A90" s="215">
        <f>AA6</f>
        <v>500</v>
      </c>
      <c r="B90" s="288">
        <f t="shared" si="81"/>
        <v>0.22999999999999998</v>
      </c>
      <c r="C90" s="293">
        <f>E14</f>
        <v>4.8</v>
      </c>
      <c r="D90" s="291">
        <f>E21</f>
        <v>9</v>
      </c>
      <c r="E90" s="291">
        <f t="shared" si="82"/>
        <v>12.315454545454545</v>
      </c>
      <c r="F90" s="291">
        <f t="shared" si="83"/>
        <v>20.673225806451612</v>
      </c>
      <c r="G90" s="291">
        <f t="shared" si="84"/>
        <v>28.802258064516128</v>
      </c>
      <c r="H90" s="291">
        <f t="shared" si="85"/>
        <v>24.97</v>
      </c>
      <c r="I90" s="291">
        <f t="shared" si="86"/>
        <v>40.57</v>
      </c>
      <c r="J90" s="286">
        <f t="shared" si="80"/>
        <v>249.7</v>
      </c>
      <c r="K90" s="292">
        <f t="shared" ca="1" si="87"/>
        <v>11.947381425087773</v>
      </c>
      <c r="L90" s="291"/>
      <c r="M90" s="291"/>
      <c r="N90" s="291"/>
      <c r="O90" s="291"/>
      <c r="T90" s="294">
        <f t="shared" si="76"/>
        <v>33.6</v>
      </c>
      <c r="U90" s="296">
        <f t="shared" si="77"/>
        <v>0</v>
      </c>
      <c r="V90" s="286">
        <f t="shared" si="78"/>
        <v>72</v>
      </c>
      <c r="W90" s="295">
        <f t="shared" si="79"/>
        <v>0</v>
      </c>
    </row>
    <row r="91" spans="1:23" x14ac:dyDescent="0.25">
      <c r="A91" s="215">
        <f>AA7</f>
        <v>1000</v>
      </c>
      <c r="B91" s="288">
        <f t="shared" si="81"/>
        <v>0.22999999999999998</v>
      </c>
      <c r="C91" s="293">
        <f>E15</f>
        <v>9.6</v>
      </c>
      <c r="D91" s="291">
        <f>E22</f>
        <v>16.363636363636363</v>
      </c>
      <c r="E91" s="291">
        <f t="shared" si="82"/>
        <v>19.57</v>
      </c>
      <c r="F91" s="291">
        <f t="shared" si="83"/>
        <v>28.802258064516128</v>
      </c>
      <c r="G91" s="291">
        <f t="shared" si="84"/>
        <v>41.77</v>
      </c>
      <c r="H91" s="291">
        <f t="shared" si="85"/>
        <v>49.12483870967742</v>
      </c>
      <c r="I91" s="291">
        <f t="shared" si="86"/>
        <v>55.77</v>
      </c>
      <c r="J91" s="286">
        <f t="shared" si="80"/>
        <v>491.2483870967742</v>
      </c>
      <c r="K91" s="292">
        <f t="shared" ca="1" si="87"/>
        <v>19.214037867964468</v>
      </c>
      <c r="L91" s="291"/>
      <c r="M91" s="291"/>
      <c r="N91" s="291"/>
      <c r="O91" s="291"/>
      <c r="T91" s="294"/>
      <c r="U91" s="294"/>
    </row>
    <row r="92" spans="1:23" x14ac:dyDescent="0.25">
      <c r="A92" s="215">
        <f>AA8</f>
        <v>2000</v>
      </c>
      <c r="B92" s="288">
        <f t="shared" si="81"/>
        <v>0.22999999999999998</v>
      </c>
      <c r="C92" s="293">
        <f>E16</f>
        <v>17.399999999999999</v>
      </c>
      <c r="D92" s="291">
        <f>E23</f>
        <v>38.322580645161288</v>
      </c>
      <c r="E92" s="291">
        <f t="shared" si="82"/>
        <v>38.17</v>
      </c>
      <c r="F92" s="291">
        <f t="shared" si="83"/>
        <v>47.382903225806452</v>
      </c>
      <c r="G92" s="291">
        <f t="shared" si="84"/>
        <v>61.406363636363636</v>
      </c>
      <c r="H92" s="291">
        <f t="shared" si="85"/>
        <v>75.253870967741932</v>
      </c>
      <c r="I92" s="291">
        <f t="shared" si="86"/>
        <v>84.544193548387099</v>
      </c>
      <c r="J92" s="286">
        <f t="shared" si="80"/>
        <v>752.53870967741932</v>
      </c>
      <c r="K92" s="292">
        <f t="shared" ca="1" si="87"/>
        <v>38.186939105453604</v>
      </c>
      <c r="L92" s="291"/>
      <c r="M92" s="291"/>
      <c r="N92" s="291"/>
      <c r="O92" s="291"/>
    </row>
    <row r="93" spans="1:23" x14ac:dyDescent="0.25">
      <c r="A93" s="215">
        <f>AA9+0.1</f>
        <v>3000.1</v>
      </c>
      <c r="B93" s="288">
        <f t="shared" si="81"/>
        <v>0.22999999999999998</v>
      </c>
      <c r="C93" s="293">
        <f>E17</f>
        <v>33.6</v>
      </c>
      <c r="D93" s="291">
        <f>E24</f>
        <v>72</v>
      </c>
      <c r="E93" s="291">
        <f t="shared" si="82"/>
        <v>56.092580645161291</v>
      </c>
      <c r="F93" s="291">
        <f t="shared" si="83"/>
        <v>66.908263665594845</v>
      </c>
      <c r="G93" s="291">
        <f t="shared" si="84"/>
        <v>81.36999999999999</v>
      </c>
      <c r="H93" s="291">
        <f t="shared" si="85"/>
        <v>99.042727272727262</v>
      </c>
      <c r="I93" s="291">
        <f t="shared" si="86"/>
        <v>108.93129032258064</v>
      </c>
      <c r="J93" s="286">
        <f t="shared" si="80"/>
        <v>990.42727272727257</v>
      </c>
      <c r="K93" s="292">
        <f t="shared" ca="1" si="87"/>
        <v>57.858580871870927</v>
      </c>
      <c r="L93" s="291"/>
      <c r="M93" s="291"/>
      <c r="N93" s="291"/>
      <c r="O93" s="291"/>
    </row>
    <row r="96" spans="1:23" x14ac:dyDescent="0.25">
      <c r="A96" s="286" t="s">
        <v>360</v>
      </c>
      <c r="B96" s="290">
        <f>B84</f>
        <v>377.79652139273668</v>
      </c>
      <c r="C96" s="286" t="s">
        <v>18</v>
      </c>
    </row>
    <row r="97" spans="1:3" x14ac:dyDescent="0.25">
      <c r="A97" s="286" t="s">
        <v>361</v>
      </c>
      <c r="B97" s="290">
        <f>B81</f>
        <v>40</v>
      </c>
      <c r="C97" s="286" t="s">
        <v>97</v>
      </c>
    </row>
    <row r="98" spans="1:3" x14ac:dyDescent="0.25">
      <c r="A98" s="286" t="s">
        <v>362</v>
      </c>
      <c r="B98" s="289">
        <f ca="1">_xlfn.FORECAST.LINEAR(Press1,OFFSET(K88:K93,MATCH(Press1,A88:A93,1)-1,0,2),OFFSET(A88:A93,MATCH(Press1,A88:A93,1)-1,0,2))</f>
        <v>7.6589544235389573</v>
      </c>
      <c r="C98" s="286" t="s">
        <v>19</v>
      </c>
    </row>
  </sheetData>
  <mergeCells count="7">
    <mergeCell ref="A2:S2"/>
    <mergeCell ref="C9:E9"/>
    <mergeCell ref="G9:O9"/>
    <mergeCell ref="S9:U9"/>
    <mergeCell ref="G10:I10"/>
    <mergeCell ref="J10:L10"/>
    <mergeCell ref="M10:O10"/>
  </mergeCells>
  <pageMargins left="0.70866141732283472" right="0.70866141732283472" top="0.74803149606299213" bottom="0.74803149606299213" header="0.31496062992125984" footer="0.31496062992125984"/>
  <pageSetup scale="63" orientation="landscape" r:id="rId1"/>
  <rowBreaks count="1" manualBreakCount="1">
    <brk id="55" max="13"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367A9-B282-4BFB-85EE-D3FB18B3F3C4}">
  <sheetPr codeName="Sheet15">
    <tabColor rgb="FF92D050"/>
  </sheetPr>
  <dimension ref="A1:AQ98"/>
  <sheetViews>
    <sheetView topLeftCell="A33" zoomScaleNormal="100" workbookViewId="0">
      <selection activeCell="T58" sqref="T58"/>
    </sheetView>
  </sheetViews>
  <sheetFormatPr defaultColWidth="9.140625" defaultRowHeight="15" x14ac:dyDescent="0.25"/>
  <cols>
    <col min="1" max="1" width="14.7109375" style="286" customWidth="1"/>
    <col min="2" max="2" width="11.28515625" style="288" customWidth="1"/>
    <col min="3" max="3" width="12.42578125" style="286" customWidth="1"/>
    <col min="4" max="4" width="19.140625" style="286" customWidth="1"/>
    <col min="5" max="5" width="13.7109375" style="286" customWidth="1"/>
    <col min="6" max="6" width="14.85546875" style="286" customWidth="1"/>
    <col min="7" max="7" width="13.140625" style="286" customWidth="1"/>
    <col min="8" max="8" width="9.140625" style="286"/>
    <col min="9" max="9" width="15.28515625" style="286" customWidth="1"/>
    <col min="10" max="15" width="9.140625" style="286"/>
    <col min="16" max="16" width="12.140625" style="286" customWidth="1"/>
    <col min="17" max="17" width="10.5703125" style="286" customWidth="1"/>
    <col min="18" max="18" width="12" style="286" customWidth="1"/>
    <col min="19" max="19" width="9.140625" style="286" customWidth="1"/>
    <col min="20" max="20" width="9.140625" style="287"/>
    <col min="21" max="24" width="9.140625" style="286"/>
    <col min="25" max="25" width="12.28515625" style="286" bestFit="1" customWidth="1"/>
    <col min="26" max="16384" width="9.140625" style="286"/>
  </cols>
  <sheetData>
    <row r="1" spans="1:34" x14ac:dyDescent="0.25">
      <c r="B1" s="293" t="s">
        <v>305</v>
      </c>
      <c r="C1" s="326">
        <v>45769</v>
      </c>
      <c r="D1" s="312" t="s">
        <v>381</v>
      </c>
      <c r="E1" s="291"/>
      <c r="F1" s="291"/>
    </row>
    <row r="2" spans="1:34" ht="25.5" customHeight="1" x14ac:dyDescent="0.35">
      <c r="A2" s="401" t="s">
        <v>382</v>
      </c>
      <c r="B2" s="401"/>
      <c r="C2" s="401"/>
      <c r="D2" s="401"/>
      <c r="E2" s="401"/>
      <c r="F2" s="401"/>
      <c r="G2" s="401"/>
      <c r="H2" s="401"/>
      <c r="I2" s="401"/>
      <c r="J2" s="401"/>
      <c r="K2" s="401"/>
      <c r="L2" s="401"/>
      <c r="M2" s="401"/>
      <c r="N2" s="401"/>
      <c r="O2" s="401"/>
      <c r="P2" s="401"/>
      <c r="Q2" s="401"/>
      <c r="R2" s="401"/>
      <c r="S2" s="401"/>
      <c r="T2" s="286"/>
    </row>
    <row r="3" spans="1:34" x14ac:dyDescent="0.25">
      <c r="A3" s="234" t="s">
        <v>311</v>
      </c>
      <c r="B3" s="235"/>
      <c r="C3" s="284" t="s">
        <v>364</v>
      </c>
      <c r="D3" s="234"/>
      <c r="E3" s="234"/>
      <c r="F3" s="234"/>
      <c r="G3" s="325"/>
      <c r="H3" s="291"/>
      <c r="P3" s="223"/>
      <c r="R3" s="223"/>
      <c r="S3" s="223"/>
      <c r="T3" s="286"/>
      <c r="Z3" s="234" t="s">
        <v>309</v>
      </c>
      <c r="AA3" s="223" t="s">
        <v>310</v>
      </c>
    </row>
    <row r="4" spans="1:34" x14ac:dyDescent="0.25">
      <c r="A4" s="235" t="s">
        <v>313</v>
      </c>
      <c r="B4" s="235"/>
      <c r="C4" s="281">
        <v>0.375</v>
      </c>
      <c r="D4" s="235"/>
      <c r="E4" s="235"/>
      <c r="F4" s="235"/>
      <c r="G4" s="274" t="s">
        <v>314</v>
      </c>
      <c r="H4" s="323" t="s">
        <v>315</v>
      </c>
      <c r="I4" s="323"/>
      <c r="J4" s="323"/>
      <c r="K4" s="323"/>
      <c r="L4" s="323"/>
      <c r="M4" s="323"/>
      <c r="N4" s="323"/>
      <c r="O4" s="323"/>
      <c r="P4" s="323"/>
      <c r="Q4" s="280" t="s">
        <v>19</v>
      </c>
      <c r="R4" s="282"/>
      <c r="S4" s="280"/>
      <c r="T4" s="324"/>
      <c r="U4" s="323"/>
      <c r="V4" s="234"/>
      <c r="Z4" s="234">
        <f>1000*0.1</f>
        <v>100</v>
      </c>
      <c r="AA4" s="274">
        <v>0</v>
      </c>
    </row>
    <row r="5" spans="1:34" x14ac:dyDescent="0.25">
      <c r="A5" s="235" t="s">
        <v>317</v>
      </c>
      <c r="B5" s="235"/>
      <c r="C5" s="281">
        <v>25.4</v>
      </c>
      <c r="D5" s="235"/>
      <c r="E5" s="235"/>
      <c r="F5" s="235"/>
      <c r="G5" s="268" t="s">
        <v>318</v>
      </c>
      <c r="H5" s="312">
        <v>73.5</v>
      </c>
      <c r="I5" s="277"/>
      <c r="J5" s="277"/>
      <c r="K5" s="277"/>
      <c r="L5" s="277"/>
      <c r="M5" s="277"/>
      <c r="N5" s="277"/>
      <c r="O5" s="277"/>
      <c r="P5" s="277"/>
      <c r="Q5" s="323">
        <f>H5/1000*25</f>
        <v>1.8374999999999999</v>
      </c>
      <c r="R5" s="279" t="s">
        <v>319</v>
      </c>
      <c r="S5" s="323"/>
      <c r="T5" s="324"/>
      <c r="U5" s="323"/>
      <c r="V5" s="234"/>
      <c r="Z5" s="234">
        <f>1000*0.2</f>
        <v>200</v>
      </c>
      <c r="AA5" s="274">
        <v>100</v>
      </c>
      <c r="AC5" s="286" t="s">
        <v>316</v>
      </c>
    </row>
    <row r="6" spans="1:34" x14ac:dyDescent="0.25">
      <c r="A6" s="235" t="s">
        <v>320</v>
      </c>
      <c r="B6" s="235"/>
      <c r="C6" s="281">
        <f>0.15-0.014</f>
        <v>0.13599999999999998</v>
      </c>
      <c r="D6" s="235"/>
      <c r="E6" s="235"/>
      <c r="F6" s="235"/>
      <c r="G6" s="274" t="s">
        <v>321</v>
      </c>
      <c r="H6" s="312">
        <v>64.3</v>
      </c>
      <c r="I6" s="277"/>
      <c r="J6" s="277"/>
      <c r="K6" s="277"/>
      <c r="L6" s="277"/>
      <c r="M6" s="277"/>
      <c r="N6" s="277"/>
      <c r="O6" s="277"/>
      <c r="P6" s="277"/>
      <c r="Q6" s="323">
        <f>H6/1000*25</f>
        <v>1.6074999999999999</v>
      </c>
      <c r="R6" s="279" t="s">
        <v>319</v>
      </c>
      <c r="S6" s="323"/>
      <c r="T6" s="324"/>
      <c r="U6" s="323"/>
      <c r="V6" s="234"/>
      <c r="Z6" s="234">
        <f>1000*0.4</f>
        <v>400</v>
      </c>
      <c r="AA6" s="274">
        <v>500</v>
      </c>
      <c r="AC6" s="286">
        <v>250</v>
      </c>
    </row>
    <row r="7" spans="1:34" x14ac:dyDescent="0.25">
      <c r="A7" s="260" t="s">
        <v>322</v>
      </c>
      <c r="B7" s="235"/>
      <c r="C7" s="281" t="s">
        <v>323</v>
      </c>
      <c r="D7" s="235"/>
      <c r="E7" s="235"/>
      <c r="F7" s="235"/>
      <c r="H7" s="323"/>
      <c r="I7" s="323"/>
      <c r="J7" s="323"/>
      <c r="K7" s="323"/>
      <c r="L7" s="323"/>
      <c r="M7" s="323"/>
      <c r="N7" s="323"/>
      <c r="O7" s="323"/>
      <c r="P7" s="323" t="s">
        <v>324</v>
      </c>
      <c r="Q7" s="280">
        <f>Q5-Q6</f>
        <v>0.22999999999999998</v>
      </c>
      <c r="R7" s="280" t="s">
        <v>19</v>
      </c>
      <c r="S7" s="279" t="s">
        <v>325</v>
      </c>
      <c r="T7" s="324"/>
      <c r="U7" s="323"/>
      <c r="V7" s="234"/>
      <c r="Z7" s="234">
        <f>1000*0.6</f>
        <v>600</v>
      </c>
      <c r="AA7" s="274">
        <v>1000</v>
      </c>
    </row>
    <row r="8" spans="1:34" ht="15.75" thickBot="1" x14ac:dyDescent="0.3">
      <c r="A8" s="260" t="s">
        <v>326</v>
      </c>
      <c r="B8" s="235"/>
      <c r="C8" s="276" t="s">
        <v>327</v>
      </c>
      <c r="D8" s="260"/>
      <c r="E8" s="260"/>
      <c r="F8" s="260"/>
      <c r="G8" s="286" t="s">
        <v>328</v>
      </c>
      <c r="Q8" s="263"/>
      <c r="R8" s="263"/>
      <c r="S8" s="263"/>
      <c r="T8" s="322"/>
      <c r="V8" s="275"/>
      <c r="Z8" s="234">
        <f>1000*0.8</f>
        <v>800</v>
      </c>
      <c r="AA8" s="274">
        <v>2000</v>
      </c>
    </row>
    <row r="9" spans="1:34" x14ac:dyDescent="0.25">
      <c r="A9" s="234" t="s">
        <v>205</v>
      </c>
      <c r="C9" s="402" t="s">
        <v>329</v>
      </c>
      <c r="D9" s="403"/>
      <c r="E9" s="404"/>
      <c r="F9" s="234"/>
      <c r="G9" s="402" t="s">
        <v>330</v>
      </c>
      <c r="H9" s="405"/>
      <c r="I9" s="405"/>
      <c r="J9" s="405"/>
      <c r="K9" s="405"/>
      <c r="L9" s="405"/>
      <c r="M9" s="405"/>
      <c r="N9" s="405"/>
      <c r="O9" s="406"/>
      <c r="P9" s="273" t="s">
        <v>331</v>
      </c>
      <c r="Q9" s="272" t="s">
        <v>332</v>
      </c>
      <c r="R9" s="271" t="s">
        <v>333</v>
      </c>
      <c r="S9" s="407"/>
      <c r="T9" s="410"/>
      <c r="U9" s="410"/>
      <c r="V9" s="321"/>
      <c r="W9" s="320" t="s">
        <v>334</v>
      </c>
      <c r="Z9" s="234">
        <v>1000</v>
      </c>
      <c r="AA9" s="268">
        <v>3000</v>
      </c>
      <c r="AG9" s="286">
        <v>10</v>
      </c>
      <c r="AH9" s="286">
        <f>AG9/400*600</f>
        <v>15</v>
      </c>
    </row>
    <row r="10" spans="1:34" x14ac:dyDescent="0.25">
      <c r="A10" s="234"/>
      <c r="C10" s="267"/>
      <c r="D10" s="263"/>
      <c r="E10" s="263"/>
      <c r="F10" s="235"/>
      <c r="G10" s="409" t="s">
        <v>384</v>
      </c>
      <c r="H10" s="403"/>
      <c r="I10" s="404"/>
      <c r="J10" s="409" t="s">
        <v>385</v>
      </c>
      <c r="K10" s="403"/>
      <c r="L10" s="404"/>
      <c r="M10" s="409" t="s">
        <v>386</v>
      </c>
      <c r="N10" s="403"/>
      <c r="O10" s="404"/>
      <c r="P10" s="266" t="s">
        <v>387</v>
      </c>
      <c r="Q10" s="263"/>
      <c r="R10" s="223"/>
      <c r="S10" s="263"/>
      <c r="T10" s="288"/>
      <c r="U10" s="288"/>
      <c r="V10" s="319"/>
      <c r="W10" s="318"/>
      <c r="Z10" s="234">
        <v>1100</v>
      </c>
      <c r="AA10" s="223"/>
    </row>
    <row r="11" spans="1:34" ht="15.75" thickBot="1" x14ac:dyDescent="0.3">
      <c r="A11" s="235" t="s">
        <v>8</v>
      </c>
      <c r="B11" s="235" t="s">
        <v>18</v>
      </c>
      <c r="C11" s="260" t="s">
        <v>335</v>
      </c>
      <c r="D11" s="263" t="s">
        <v>365</v>
      </c>
      <c r="E11" s="262" t="s">
        <v>19</v>
      </c>
      <c r="F11" s="261" t="s">
        <v>337</v>
      </c>
      <c r="G11" s="250" t="s">
        <v>388</v>
      </c>
      <c r="H11" s="260" t="s">
        <v>339</v>
      </c>
      <c r="I11" s="260" t="s">
        <v>389</v>
      </c>
      <c r="J11" s="250" t="s">
        <v>388</v>
      </c>
      <c r="K11" s="260" t="s">
        <v>339</v>
      </c>
      <c r="L11" s="260" t="s">
        <v>389</v>
      </c>
      <c r="M11" s="250" t="s">
        <v>388</v>
      </c>
      <c r="N11" s="260" t="s">
        <v>339</v>
      </c>
      <c r="O11" s="260" t="s">
        <v>389</v>
      </c>
      <c r="P11" s="259" t="s">
        <v>340</v>
      </c>
      <c r="Q11" s="258" t="s">
        <v>19</v>
      </c>
      <c r="R11" s="257" t="s">
        <v>341</v>
      </c>
      <c r="S11" s="257"/>
      <c r="T11" s="256" t="s">
        <v>342</v>
      </c>
      <c r="U11" s="255"/>
      <c r="V11" s="317" t="s">
        <v>343</v>
      </c>
      <c r="W11" s="253" t="s">
        <v>344</v>
      </c>
      <c r="X11" s="249"/>
      <c r="Y11" s="248" t="s">
        <v>390</v>
      </c>
      <c r="AG11" s="286">
        <v>50</v>
      </c>
      <c r="AH11" s="286">
        <f>AG11/400*600</f>
        <v>75</v>
      </c>
    </row>
    <row r="12" spans="1:34" x14ac:dyDescent="0.25">
      <c r="A12" s="244">
        <f t="shared" ref="A12:A17" si="0">AA4</f>
        <v>0</v>
      </c>
      <c r="B12" s="235">
        <v>100</v>
      </c>
      <c r="C12" s="312">
        <v>200</v>
      </c>
      <c r="D12" s="312">
        <v>300</v>
      </c>
      <c r="E12" s="311">
        <f t="shared" ref="E12:E17" si="1">C12/1000*3600/D12</f>
        <v>2.4</v>
      </c>
      <c r="F12" s="310">
        <f t="shared" ref="F12:F17" si="2">E12-$Q$7</f>
        <v>2.17</v>
      </c>
      <c r="G12" s="240">
        <v>60</v>
      </c>
      <c r="H12" s="240">
        <v>69</v>
      </c>
      <c r="I12" s="239">
        <f t="shared" ref="I12:I17" si="3">IF(AND(G12&gt;0,H12&gt;0), H12/(G12/60), 0)</f>
        <v>69</v>
      </c>
      <c r="J12" s="240">
        <v>60</v>
      </c>
      <c r="K12" s="240">
        <v>69</v>
      </c>
      <c r="L12" s="239">
        <f t="shared" ref="L12:L17" si="4">IF(AND(J12&gt;0,K12&gt;0), K12/(J12/60), 0)</f>
        <v>69</v>
      </c>
      <c r="M12" s="240">
        <v>60</v>
      </c>
      <c r="N12" s="240">
        <v>69</v>
      </c>
      <c r="O12" s="239">
        <f t="shared" ref="O12:O17" si="5">IF(AND(M12&gt;0,N12&gt;0), N12/(M12/60), 0)</f>
        <v>69</v>
      </c>
      <c r="P12" s="309">
        <f t="shared" ref="P12:P17" si="6">60*H12/G12</f>
        <v>69</v>
      </c>
      <c r="Q12" s="237">
        <f t="shared" ref="Q12:Q17" si="7">P12/100*A12/100*0.8</f>
        <v>0</v>
      </c>
      <c r="R12" s="308">
        <f t="shared" ref="R12:R17" si="8">Q12/E12</f>
        <v>0</v>
      </c>
      <c r="S12" s="293"/>
      <c r="T12" s="307"/>
      <c r="U12" s="306"/>
      <c r="V12" s="315">
        <f t="shared" ref="V12:V17" si="9">B12/AC$6</f>
        <v>0.4</v>
      </c>
      <c r="W12" s="291"/>
      <c r="X12" s="249"/>
      <c r="Y12" s="248" t="s">
        <v>391</v>
      </c>
      <c r="Z12" s="248"/>
    </row>
    <row r="13" spans="1:34" x14ac:dyDescent="0.25">
      <c r="A13" s="244">
        <f t="shared" si="0"/>
        <v>100</v>
      </c>
      <c r="B13" s="235">
        <v>100</v>
      </c>
      <c r="C13" s="312">
        <v>250</v>
      </c>
      <c r="D13" s="312">
        <v>300</v>
      </c>
      <c r="E13" s="311">
        <f t="shared" si="1"/>
        <v>3</v>
      </c>
      <c r="F13" s="310">
        <f t="shared" si="2"/>
        <v>2.77</v>
      </c>
      <c r="G13" s="240">
        <v>60</v>
      </c>
      <c r="H13" s="240">
        <v>67</v>
      </c>
      <c r="I13" s="239">
        <f t="shared" si="3"/>
        <v>67</v>
      </c>
      <c r="J13" s="240">
        <v>60</v>
      </c>
      <c r="K13" s="240">
        <v>67</v>
      </c>
      <c r="L13" s="239">
        <f t="shared" si="4"/>
        <v>67</v>
      </c>
      <c r="M13" s="240">
        <v>60</v>
      </c>
      <c r="N13" s="240">
        <v>67</v>
      </c>
      <c r="O13" s="239">
        <f t="shared" si="5"/>
        <v>67</v>
      </c>
      <c r="P13" s="309">
        <f t="shared" si="6"/>
        <v>67</v>
      </c>
      <c r="Q13" s="237">
        <f t="shared" si="7"/>
        <v>0.53600000000000003</v>
      </c>
      <c r="R13" s="308">
        <f t="shared" si="8"/>
        <v>0.17866666666666667</v>
      </c>
      <c r="S13" s="293"/>
      <c r="T13" s="307">
        <f>P13/$P$13</f>
        <v>1</v>
      </c>
      <c r="U13" s="306"/>
      <c r="V13" s="315">
        <f t="shared" si="9"/>
        <v>0.4</v>
      </c>
      <c r="W13" s="291"/>
      <c r="Y13" s="207" t="s">
        <v>392</v>
      </c>
      <c r="AG13" s="286">
        <v>100</v>
      </c>
      <c r="AH13" s="286">
        <f>AG13/400*600</f>
        <v>150</v>
      </c>
    </row>
    <row r="14" spans="1:34" x14ac:dyDescent="0.25">
      <c r="A14" s="244">
        <f t="shared" si="0"/>
        <v>500</v>
      </c>
      <c r="B14" s="235">
        <v>100</v>
      </c>
      <c r="C14" s="312">
        <v>450</v>
      </c>
      <c r="D14" s="312">
        <v>300</v>
      </c>
      <c r="E14" s="311">
        <f t="shared" si="1"/>
        <v>5.4</v>
      </c>
      <c r="F14" s="310">
        <f t="shared" si="2"/>
        <v>5.17</v>
      </c>
      <c r="G14" s="240">
        <v>60</v>
      </c>
      <c r="H14" s="240">
        <v>64</v>
      </c>
      <c r="I14" s="239">
        <f t="shared" si="3"/>
        <v>64</v>
      </c>
      <c r="J14" s="240">
        <v>60</v>
      </c>
      <c r="K14" s="240">
        <v>65</v>
      </c>
      <c r="L14" s="239">
        <f t="shared" si="4"/>
        <v>65</v>
      </c>
      <c r="M14" s="240">
        <v>60</v>
      </c>
      <c r="N14" s="240">
        <v>65.5</v>
      </c>
      <c r="O14" s="239">
        <f t="shared" si="5"/>
        <v>65.5</v>
      </c>
      <c r="P14" s="309">
        <f t="shared" si="6"/>
        <v>64</v>
      </c>
      <c r="Q14" s="237">
        <f t="shared" si="7"/>
        <v>2.5600000000000005</v>
      </c>
      <c r="R14" s="308">
        <f t="shared" si="8"/>
        <v>0.47407407407407415</v>
      </c>
      <c r="S14" s="293"/>
      <c r="T14" s="307">
        <f>P14/$P$13</f>
        <v>0.95522388059701491</v>
      </c>
      <c r="U14" s="306"/>
      <c r="V14" s="315">
        <f t="shared" si="9"/>
        <v>0.4</v>
      </c>
      <c r="W14" s="291"/>
      <c r="AG14" s="286">
        <v>200</v>
      </c>
      <c r="AH14" s="286">
        <f>AG14/400*600</f>
        <v>300</v>
      </c>
    </row>
    <row r="15" spans="1:34" x14ac:dyDescent="0.25">
      <c r="A15" s="244">
        <f t="shared" si="0"/>
        <v>1000</v>
      </c>
      <c r="B15" s="235">
        <v>100</v>
      </c>
      <c r="C15" s="312">
        <v>800</v>
      </c>
      <c r="D15" s="312">
        <v>300</v>
      </c>
      <c r="E15" s="311">
        <f t="shared" si="1"/>
        <v>9.6</v>
      </c>
      <c r="F15" s="310">
        <f t="shared" si="2"/>
        <v>9.3699999999999992</v>
      </c>
      <c r="G15" s="240">
        <v>60</v>
      </c>
      <c r="H15" s="240">
        <v>62</v>
      </c>
      <c r="I15" s="239">
        <f t="shared" si="3"/>
        <v>62</v>
      </c>
      <c r="J15" s="240">
        <v>60</v>
      </c>
      <c r="K15" s="240">
        <v>63</v>
      </c>
      <c r="L15" s="239">
        <f t="shared" si="4"/>
        <v>63</v>
      </c>
      <c r="M15" s="240">
        <v>60</v>
      </c>
      <c r="N15" s="240">
        <v>61</v>
      </c>
      <c r="O15" s="239">
        <f t="shared" si="5"/>
        <v>61</v>
      </c>
      <c r="P15" s="309">
        <f t="shared" si="6"/>
        <v>62</v>
      </c>
      <c r="Q15" s="237">
        <f t="shared" si="7"/>
        <v>4.9600000000000009</v>
      </c>
      <c r="R15" s="308">
        <f t="shared" si="8"/>
        <v>0.51666666666666683</v>
      </c>
      <c r="S15" s="293"/>
      <c r="T15" s="307">
        <f>P15/$P$13</f>
        <v>0.92537313432835822</v>
      </c>
      <c r="U15" s="306"/>
      <c r="V15" s="315">
        <f t="shared" si="9"/>
        <v>0.4</v>
      </c>
      <c r="W15" s="291"/>
      <c r="AG15" s="286">
        <v>300</v>
      </c>
      <c r="AH15" s="286">
        <f>AG15/400*600</f>
        <v>450</v>
      </c>
    </row>
    <row r="16" spans="1:34" x14ac:dyDescent="0.25">
      <c r="A16" s="244">
        <f t="shared" si="0"/>
        <v>2000</v>
      </c>
      <c r="B16" s="235">
        <v>100</v>
      </c>
      <c r="C16" s="312">
        <v>1600</v>
      </c>
      <c r="D16" s="312">
        <v>300</v>
      </c>
      <c r="E16" s="311">
        <f t="shared" si="1"/>
        <v>19.2</v>
      </c>
      <c r="F16" s="310">
        <f t="shared" si="2"/>
        <v>18.97</v>
      </c>
      <c r="G16" s="240">
        <v>60</v>
      </c>
      <c r="H16" s="240">
        <v>57</v>
      </c>
      <c r="I16" s="239">
        <f t="shared" si="3"/>
        <v>57</v>
      </c>
      <c r="J16" s="240">
        <v>60</v>
      </c>
      <c r="K16" s="240">
        <v>57</v>
      </c>
      <c r="L16" s="239">
        <f t="shared" si="4"/>
        <v>57</v>
      </c>
      <c r="M16" s="240">
        <v>60</v>
      </c>
      <c r="N16" s="240">
        <v>58</v>
      </c>
      <c r="O16" s="239">
        <f t="shared" si="5"/>
        <v>58</v>
      </c>
      <c r="P16" s="309">
        <f t="shared" si="6"/>
        <v>57</v>
      </c>
      <c r="Q16" s="237">
        <f t="shared" si="7"/>
        <v>9.120000000000001</v>
      </c>
      <c r="R16" s="308">
        <f t="shared" si="8"/>
        <v>0.47500000000000009</v>
      </c>
      <c r="S16" s="293"/>
      <c r="T16" s="307">
        <f>P16/$P$13</f>
        <v>0.85074626865671643</v>
      </c>
      <c r="U16" s="306"/>
      <c r="V16" s="315">
        <f t="shared" si="9"/>
        <v>0.4</v>
      </c>
      <c r="W16" s="291"/>
      <c r="AG16" s="286">
        <v>400</v>
      </c>
      <c r="AH16" s="286">
        <f>AG16/400*600</f>
        <v>600</v>
      </c>
    </row>
    <row r="17" spans="1:34" x14ac:dyDescent="0.25">
      <c r="A17" s="244">
        <f t="shared" si="0"/>
        <v>3000</v>
      </c>
      <c r="B17" s="235">
        <v>100</v>
      </c>
      <c r="C17" s="312">
        <v>3200</v>
      </c>
      <c r="D17" s="312">
        <v>300</v>
      </c>
      <c r="E17" s="311">
        <f t="shared" si="1"/>
        <v>38.4</v>
      </c>
      <c r="F17" s="310">
        <f t="shared" si="2"/>
        <v>38.17</v>
      </c>
      <c r="G17" s="240">
        <v>60</v>
      </c>
      <c r="H17" s="240">
        <v>53</v>
      </c>
      <c r="I17" s="239">
        <f t="shared" si="3"/>
        <v>53</v>
      </c>
      <c r="J17" s="240">
        <v>60</v>
      </c>
      <c r="K17" s="240">
        <v>54</v>
      </c>
      <c r="L17" s="239">
        <f t="shared" si="4"/>
        <v>54</v>
      </c>
      <c r="M17" s="240">
        <v>60</v>
      </c>
      <c r="N17" s="240">
        <v>53</v>
      </c>
      <c r="O17" s="239">
        <f t="shared" si="5"/>
        <v>53</v>
      </c>
      <c r="P17" s="309">
        <f t="shared" si="6"/>
        <v>53</v>
      </c>
      <c r="Q17" s="237">
        <f t="shared" si="7"/>
        <v>12.72</v>
      </c>
      <c r="R17" s="308">
        <f t="shared" si="8"/>
        <v>0.33125000000000004</v>
      </c>
      <c r="S17" s="293"/>
      <c r="T17" s="307">
        <f>P17/$P$13</f>
        <v>0.79104477611940294</v>
      </c>
      <c r="U17" s="306"/>
      <c r="V17" s="315">
        <f t="shared" si="9"/>
        <v>0.4</v>
      </c>
      <c r="W17" s="291"/>
    </row>
    <row r="18" spans="1:34" x14ac:dyDescent="0.25">
      <c r="A18" s="244"/>
      <c r="B18" s="244"/>
      <c r="C18" s="312"/>
      <c r="D18" s="312"/>
      <c r="E18" s="311"/>
      <c r="F18" s="310"/>
      <c r="G18" s="240"/>
      <c r="H18" s="240"/>
      <c r="I18" s="250"/>
      <c r="J18" s="240"/>
      <c r="K18" s="240"/>
      <c r="L18" s="250"/>
      <c r="M18" s="240"/>
      <c r="N18" s="240"/>
      <c r="O18" s="250"/>
      <c r="P18" s="309"/>
      <c r="Q18" s="237"/>
      <c r="R18" s="293"/>
      <c r="S18" s="293"/>
      <c r="T18" s="307"/>
      <c r="U18" s="306"/>
      <c r="V18" s="316"/>
      <c r="W18" s="291"/>
    </row>
    <row r="19" spans="1:34" x14ac:dyDescent="0.25">
      <c r="A19" s="244">
        <f t="shared" ref="A19:A24" si="10">AA4</f>
        <v>0</v>
      </c>
      <c r="B19" s="244">
        <v>200</v>
      </c>
      <c r="C19" s="312">
        <v>300</v>
      </c>
      <c r="D19" s="312">
        <v>300</v>
      </c>
      <c r="E19" s="311">
        <f t="shared" ref="E19:E24" si="11">C19/1000*3600/D19</f>
        <v>3.6</v>
      </c>
      <c r="F19" s="310">
        <f t="shared" ref="F19:F24" si="12">E19-$Q$7</f>
        <v>3.37</v>
      </c>
      <c r="G19" s="240">
        <v>60</v>
      </c>
      <c r="H19" s="240">
        <v>136</v>
      </c>
      <c r="I19" s="239">
        <f t="shared" ref="I19:I24" si="13">IF(AND(G19&gt;0,H19&gt;0), H19/(G19/60), 0)</f>
        <v>136</v>
      </c>
      <c r="J19" s="240">
        <v>60</v>
      </c>
      <c r="K19" s="240">
        <v>137</v>
      </c>
      <c r="L19" s="239">
        <f t="shared" ref="L19:L24" si="14">IF(AND(J19&gt;0,K19&gt;0), K19/(J19/60), 0)</f>
        <v>137</v>
      </c>
      <c r="M19" s="240">
        <v>60</v>
      </c>
      <c r="N19" s="240">
        <v>138</v>
      </c>
      <c r="O19" s="239">
        <f t="shared" ref="O19:O24" si="15">IF(AND(M19&gt;0,N19&gt;0), N19/(M19/60), 0)</f>
        <v>138</v>
      </c>
      <c r="P19" s="309">
        <f t="shared" ref="P19:P24" si="16">60*H19/G19</f>
        <v>136</v>
      </c>
      <c r="Q19" s="237">
        <f t="shared" ref="Q19:Q24" si="17">P19/100*A19/100*0.8</f>
        <v>0</v>
      </c>
      <c r="R19" s="308">
        <f t="shared" ref="R19:R24" si="18">Q19/E19</f>
        <v>0</v>
      </c>
      <c r="S19" s="293"/>
      <c r="T19" s="307"/>
      <c r="U19" s="306"/>
      <c r="V19" s="315">
        <f t="shared" ref="V19:V24" si="19">B19/AC$6</f>
        <v>0.8</v>
      </c>
      <c r="W19" s="291"/>
      <c r="X19" s="249"/>
      <c r="Y19" s="248" t="s">
        <v>391</v>
      </c>
      <c r="Z19" s="248"/>
    </row>
    <row r="20" spans="1:34" x14ac:dyDescent="0.25">
      <c r="A20" s="244">
        <f t="shared" si="10"/>
        <v>100</v>
      </c>
      <c r="B20" s="244">
        <v>200</v>
      </c>
      <c r="C20" s="312">
        <v>450</v>
      </c>
      <c r="D20" s="312">
        <v>300</v>
      </c>
      <c r="E20" s="311">
        <f t="shared" si="11"/>
        <v>5.4</v>
      </c>
      <c r="F20" s="310">
        <f t="shared" si="12"/>
        <v>5.17</v>
      </c>
      <c r="G20" s="240">
        <v>60</v>
      </c>
      <c r="H20" s="240">
        <v>134</v>
      </c>
      <c r="I20" s="239">
        <f t="shared" si="13"/>
        <v>134</v>
      </c>
      <c r="J20" s="240">
        <v>60</v>
      </c>
      <c r="K20" s="240">
        <v>132</v>
      </c>
      <c r="L20" s="239">
        <f t="shared" si="14"/>
        <v>132</v>
      </c>
      <c r="M20" s="240">
        <v>60</v>
      </c>
      <c r="N20" s="240">
        <v>134</v>
      </c>
      <c r="O20" s="239">
        <f t="shared" si="15"/>
        <v>134</v>
      </c>
      <c r="P20" s="309">
        <f t="shared" si="16"/>
        <v>134</v>
      </c>
      <c r="Q20" s="237">
        <f t="shared" si="17"/>
        <v>1.0720000000000001</v>
      </c>
      <c r="R20" s="308">
        <f t="shared" si="18"/>
        <v>0.19851851851851851</v>
      </c>
      <c r="S20" s="293"/>
      <c r="T20" s="307">
        <f>P20/$P$20</f>
        <v>1</v>
      </c>
      <c r="U20" s="306"/>
      <c r="V20" s="315">
        <f t="shared" si="19"/>
        <v>0.8</v>
      </c>
      <c r="W20" s="291"/>
      <c r="Y20" s="207" t="s">
        <v>392</v>
      </c>
      <c r="AG20" s="286">
        <v>100</v>
      </c>
      <c r="AH20" s="286">
        <f>AG20/400*600</f>
        <v>150</v>
      </c>
    </row>
    <row r="21" spans="1:34" x14ac:dyDescent="0.25">
      <c r="A21" s="244">
        <f t="shared" si="10"/>
        <v>500</v>
      </c>
      <c r="B21" s="244">
        <v>200</v>
      </c>
      <c r="C21" s="312">
        <v>850</v>
      </c>
      <c r="D21" s="312">
        <v>300</v>
      </c>
      <c r="E21" s="311">
        <f t="shared" si="11"/>
        <v>10.199999999999999</v>
      </c>
      <c r="F21" s="310">
        <f t="shared" si="12"/>
        <v>9.9699999999999989</v>
      </c>
      <c r="G21" s="240">
        <v>60</v>
      </c>
      <c r="H21" s="240">
        <v>129</v>
      </c>
      <c r="I21" s="239">
        <f t="shared" si="13"/>
        <v>129</v>
      </c>
      <c r="J21" s="240">
        <v>60</v>
      </c>
      <c r="K21" s="240">
        <v>129</v>
      </c>
      <c r="L21" s="239">
        <f t="shared" si="14"/>
        <v>129</v>
      </c>
      <c r="M21" s="240">
        <v>60</v>
      </c>
      <c r="N21" s="240">
        <v>130</v>
      </c>
      <c r="O21" s="239">
        <f t="shared" si="15"/>
        <v>130</v>
      </c>
      <c r="P21" s="309">
        <f t="shared" si="16"/>
        <v>129</v>
      </c>
      <c r="Q21" s="237">
        <f t="shared" si="17"/>
        <v>5.16</v>
      </c>
      <c r="R21" s="308">
        <f t="shared" si="18"/>
        <v>0.50588235294117656</v>
      </c>
      <c r="S21" s="293"/>
      <c r="T21" s="307">
        <f>P21/$P$20</f>
        <v>0.96268656716417911</v>
      </c>
      <c r="U21" s="306"/>
      <c r="V21" s="315">
        <f t="shared" si="19"/>
        <v>0.8</v>
      </c>
      <c r="W21" s="291"/>
      <c r="AG21" s="286">
        <v>200</v>
      </c>
      <c r="AH21" s="286">
        <f>AG21/400*600</f>
        <v>300</v>
      </c>
    </row>
    <row r="22" spans="1:34" x14ac:dyDescent="0.25">
      <c r="A22" s="244">
        <f t="shared" si="10"/>
        <v>1000</v>
      </c>
      <c r="B22" s="244">
        <v>200</v>
      </c>
      <c r="C22" s="312">
        <v>1750</v>
      </c>
      <c r="D22" s="312">
        <v>360</v>
      </c>
      <c r="E22" s="311">
        <f t="shared" si="11"/>
        <v>17.5</v>
      </c>
      <c r="F22" s="310">
        <f t="shared" si="12"/>
        <v>17.27</v>
      </c>
      <c r="G22" s="240">
        <v>60</v>
      </c>
      <c r="H22" s="240">
        <v>121</v>
      </c>
      <c r="I22" s="239">
        <f t="shared" si="13"/>
        <v>121</v>
      </c>
      <c r="J22" s="240">
        <v>60</v>
      </c>
      <c r="K22" s="240">
        <v>124</v>
      </c>
      <c r="L22" s="239">
        <f t="shared" si="14"/>
        <v>124</v>
      </c>
      <c r="M22" s="240">
        <v>60</v>
      </c>
      <c r="N22" s="240">
        <v>125</v>
      </c>
      <c r="O22" s="239">
        <f t="shared" si="15"/>
        <v>125</v>
      </c>
      <c r="P22" s="309">
        <f t="shared" si="16"/>
        <v>121</v>
      </c>
      <c r="Q22" s="237">
        <f t="shared" si="17"/>
        <v>9.68</v>
      </c>
      <c r="R22" s="308">
        <f t="shared" si="18"/>
        <v>0.55314285714285716</v>
      </c>
      <c r="S22" s="293"/>
      <c r="T22" s="307">
        <f>P22/$P$20</f>
        <v>0.90298507462686572</v>
      </c>
      <c r="U22" s="306"/>
      <c r="V22" s="315">
        <f t="shared" si="19"/>
        <v>0.8</v>
      </c>
      <c r="W22" s="291"/>
      <c r="AG22" s="286">
        <v>300</v>
      </c>
      <c r="AH22" s="286">
        <f>AG22/400*600</f>
        <v>450</v>
      </c>
    </row>
    <row r="23" spans="1:34" x14ac:dyDescent="0.25">
      <c r="A23" s="244">
        <f t="shared" si="10"/>
        <v>2000</v>
      </c>
      <c r="B23" s="244">
        <v>200</v>
      </c>
      <c r="C23" s="312">
        <v>3600</v>
      </c>
      <c r="D23" s="312">
        <v>360</v>
      </c>
      <c r="E23" s="311">
        <f t="shared" si="11"/>
        <v>36</v>
      </c>
      <c r="F23" s="310">
        <f t="shared" si="12"/>
        <v>35.770000000000003</v>
      </c>
      <c r="G23" s="240">
        <v>60</v>
      </c>
      <c r="H23" s="240">
        <v>113</v>
      </c>
      <c r="I23" s="239">
        <f t="shared" si="13"/>
        <v>113</v>
      </c>
      <c r="J23" s="240">
        <v>60</v>
      </c>
      <c r="K23" s="240">
        <v>115.5</v>
      </c>
      <c r="L23" s="239">
        <f t="shared" si="14"/>
        <v>115.5</v>
      </c>
      <c r="M23" s="240">
        <v>60</v>
      </c>
      <c r="N23" s="240">
        <v>116</v>
      </c>
      <c r="O23" s="239">
        <f t="shared" si="15"/>
        <v>116</v>
      </c>
      <c r="P23" s="309">
        <f t="shared" si="16"/>
        <v>113</v>
      </c>
      <c r="Q23" s="237">
        <f t="shared" si="17"/>
        <v>18.080000000000002</v>
      </c>
      <c r="R23" s="308">
        <f t="shared" si="18"/>
        <v>0.50222222222222224</v>
      </c>
      <c r="S23" s="293"/>
      <c r="T23" s="307">
        <f>P23/$P$20</f>
        <v>0.84328358208955223</v>
      </c>
      <c r="U23" s="306"/>
      <c r="V23" s="315">
        <f t="shared" si="19"/>
        <v>0.8</v>
      </c>
      <c r="W23" s="291"/>
      <c r="AG23" s="286">
        <v>400</v>
      </c>
      <c r="AH23" s="286">
        <f>AG23/400*600</f>
        <v>600</v>
      </c>
    </row>
    <row r="24" spans="1:34" x14ac:dyDescent="0.25">
      <c r="A24" s="244">
        <f t="shared" si="10"/>
        <v>3000</v>
      </c>
      <c r="B24" s="244">
        <v>200</v>
      </c>
      <c r="C24" s="312">
        <v>4900</v>
      </c>
      <c r="D24" s="312">
        <v>300</v>
      </c>
      <c r="E24" s="311">
        <f t="shared" si="11"/>
        <v>58.8</v>
      </c>
      <c r="F24" s="310">
        <f t="shared" si="12"/>
        <v>58.57</v>
      </c>
      <c r="G24" s="240">
        <v>60</v>
      </c>
      <c r="H24" s="240">
        <v>108</v>
      </c>
      <c r="I24" s="239">
        <f t="shared" si="13"/>
        <v>108</v>
      </c>
      <c r="J24" s="240">
        <v>60</v>
      </c>
      <c r="K24" s="240">
        <v>107.75</v>
      </c>
      <c r="L24" s="239">
        <f t="shared" si="14"/>
        <v>107.75</v>
      </c>
      <c r="M24" s="240">
        <v>60</v>
      </c>
      <c r="N24" s="240">
        <v>107</v>
      </c>
      <c r="O24" s="239">
        <f t="shared" si="15"/>
        <v>107</v>
      </c>
      <c r="P24" s="309">
        <f t="shared" si="16"/>
        <v>108</v>
      </c>
      <c r="Q24" s="237">
        <f t="shared" si="17"/>
        <v>25.92</v>
      </c>
      <c r="R24" s="308">
        <f t="shared" si="18"/>
        <v>0.44081632653061231</v>
      </c>
      <c r="S24" s="293"/>
      <c r="T24" s="307">
        <f>P24/$P$20</f>
        <v>0.80597014925373134</v>
      </c>
      <c r="U24" s="306"/>
      <c r="V24" s="315">
        <f t="shared" si="19"/>
        <v>0.8</v>
      </c>
      <c r="W24" s="291"/>
    </row>
    <row r="25" spans="1:34" x14ac:dyDescent="0.25">
      <c r="A25" s="235"/>
      <c r="B25" s="235"/>
      <c r="C25" s="312"/>
      <c r="D25" s="312"/>
      <c r="E25" s="311"/>
      <c r="F25" s="310"/>
      <c r="G25" s="240"/>
      <c r="H25" s="240"/>
      <c r="I25" s="250"/>
      <c r="J25" s="240"/>
      <c r="K25" s="240"/>
      <c r="L25" s="250"/>
      <c r="M25" s="240"/>
      <c r="N25" s="240"/>
      <c r="O25" s="250"/>
      <c r="P25" s="309"/>
      <c r="Q25" s="237"/>
      <c r="R25" s="293"/>
      <c r="S25" s="293"/>
      <c r="T25" s="307"/>
      <c r="U25" s="306"/>
      <c r="V25" s="291"/>
      <c r="W25" s="291"/>
    </row>
    <row r="26" spans="1:34" x14ac:dyDescent="0.25">
      <c r="A26" s="235">
        <f t="shared" ref="A26:A31" si="20">AA4</f>
        <v>0</v>
      </c>
      <c r="B26" s="235">
        <f t="shared" ref="B26:B31" si="21">Z$6</f>
        <v>400</v>
      </c>
      <c r="C26" s="312">
        <v>6500</v>
      </c>
      <c r="D26" s="312">
        <v>300</v>
      </c>
      <c r="E26" s="311">
        <f t="shared" ref="E26:E31" si="22">C26/1000*3600/D26</f>
        <v>78</v>
      </c>
      <c r="F26" s="310">
        <f t="shared" ref="F26:F31" si="23">E26-$Q$7</f>
        <v>77.77</v>
      </c>
      <c r="G26" s="240">
        <v>60</v>
      </c>
      <c r="H26" s="240">
        <v>270</v>
      </c>
      <c r="I26" s="239">
        <f t="shared" ref="I26:I31" si="24">IF(AND(G26&gt;0,H26&gt;0), H26/(G26/60)*sg_corr_factor, 0)</f>
        <v>272.87611190950429</v>
      </c>
      <c r="J26" s="240">
        <v>60</v>
      </c>
      <c r="K26" s="240">
        <v>269</v>
      </c>
      <c r="L26" s="239">
        <f t="shared" ref="L26:L31" si="25">IF(AND(J26&gt;0,K26&gt;0), K26/(J26/60)*sg_corr_factor, 0)</f>
        <v>271.86545964317281</v>
      </c>
      <c r="M26" s="240">
        <v>60</v>
      </c>
      <c r="N26" s="240">
        <v>271</v>
      </c>
      <c r="O26" s="239">
        <f t="shared" ref="O26:O31" si="26">IF(AND(M26&gt;0,N26&gt;0), N26/(M26/60)*sg_corr_factor, 0)</f>
        <v>273.88676417583582</v>
      </c>
      <c r="P26" s="309">
        <f t="shared" ref="P26:P31" si="27">60*H26/G26</f>
        <v>270</v>
      </c>
      <c r="Q26" s="237">
        <f t="shared" ref="Q26:Q31" si="28">P26/100*A26/100*0.8</f>
        <v>0</v>
      </c>
      <c r="R26" s="308">
        <f t="shared" ref="R26:R31" si="29">Q26/E26</f>
        <v>0</v>
      </c>
      <c r="S26" s="293"/>
      <c r="T26" s="307"/>
      <c r="U26" s="306"/>
      <c r="V26" s="291"/>
      <c r="W26" s="291"/>
      <c r="X26" s="249"/>
      <c r="Y26" s="248" t="s">
        <v>391</v>
      </c>
      <c r="Z26" s="248"/>
    </row>
    <row r="27" spans="1:34" x14ac:dyDescent="0.25">
      <c r="A27" s="235">
        <f t="shared" si="20"/>
        <v>100</v>
      </c>
      <c r="B27" s="235">
        <f t="shared" si="21"/>
        <v>400</v>
      </c>
      <c r="C27" s="312">
        <v>1000</v>
      </c>
      <c r="D27" s="312">
        <v>300</v>
      </c>
      <c r="E27" s="311">
        <f t="shared" si="22"/>
        <v>12</v>
      </c>
      <c r="F27" s="310">
        <f t="shared" si="23"/>
        <v>11.77</v>
      </c>
      <c r="G27" s="240">
        <v>60</v>
      </c>
      <c r="H27" s="240">
        <v>261</v>
      </c>
      <c r="I27" s="239">
        <f t="shared" si="24"/>
        <v>263.78024151252083</v>
      </c>
      <c r="J27" s="240">
        <v>60</v>
      </c>
      <c r="K27" s="240">
        <v>260</v>
      </c>
      <c r="L27" s="239">
        <f t="shared" si="25"/>
        <v>262.7695892461893</v>
      </c>
      <c r="M27" s="240">
        <v>60</v>
      </c>
      <c r="N27" s="240">
        <v>263</v>
      </c>
      <c r="O27" s="239">
        <f t="shared" si="26"/>
        <v>265.80154604518384</v>
      </c>
      <c r="P27" s="309">
        <f t="shared" si="27"/>
        <v>261</v>
      </c>
      <c r="Q27" s="237">
        <f t="shared" si="28"/>
        <v>2.0880000000000001</v>
      </c>
      <c r="R27" s="308">
        <f t="shared" si="29"/>
        <v>0.17400000000000002</v>
      </c>
      <c r="S27" s="293"/>
      <c r="T27" s="307">
        <f>P27/$P$27</f>
        <v>1</v>
      </c>
      <c r="U27" s="306"/>
      <c r="V27" s="291"/>
      <c r="W27" s="291"/>
      <c r="AG27" s="286">
        <v>100</v>
      </c>
      <c r="AH27" s="286">
        <f>AG27/400*600</f>
        <v>150</v>
      </c>
    </row>
    <row r="28" spans="1:34" x14ac:dyDescent="0.25">
      <c r="A28" s="235">
        <f t="shared" si="20"/>
        <v>500</v>
      </c>
      <c r="B28" s="235">
        <f t="shared" si="21"/>
        <v>400</v>
      </c>
      <c r="C28" s="312">
        <v>1650</v>
      </c>
      <c r="D28" s="312">
        <v>300</v>
      </c>
      <c r="E28" s="311">
        <f t="shared" si="22"/>
        <v>19.8</v>
      </c>
      <c r="F28" s="310">
        <f t="shared" si="23"/>
        <v>19.57</v>
      </c>
      <c r="G28" s="240">
        <v>60</v>
      </c>
      <c r="H28" s="240">
        <v>250</v>
      </c>
      <c r="I28" s="239">
        <f t="shared" si="24"/>
        <v>252.66306658287436</v>
      </c>
      <c r="J28" s="240">
        <v>60</v>
      </c>
      <c r="K28" s="240">
        <v>252</v>
      </c>
      <c r="L28" s="239">
        <f t="shared" si="25"/>
        <v>254.68437111553735</v>
      </c>
      <c r="M28" s="240">
        <v>60</v>
      </c>
      <c r="N28" s="240">
        <v>252</v>
      </c>
      <c r="O28" s="239">
        <f t="shared" si="26"/>
        <v>254.68437111553735</v>
      </c>
      <c r="P28" s="309">
        <f t="shared" si="27"/>
        <v>250</v>
      </c>
      <c r="Q28" s="237">
        <f t="shared" si="28"/>
        <v>10</v>
      </c>
      <c r="R28" s="308">
        <f t="shared" si="29"/>
        <v>0.50505050505050508</v>
      </c>
      <c r="S28" s="293"/>
      <c r="T28" s="307">
        <f>P28/$P$27</f>
        <v>0.95785440613026818</v>
      </c>
      <c r="U28" s="306"/>
      <c r="V28" s="291"/>
      <c r="W28" s="291"/>
      <c r="AG28" s="286">
        <v>200</v>
      </c>
      <c r="AH28" s="286">
        <f>AG28/400*600</f>
        <v>300</v>
      </c>
    </row>
    <row r="29" spans="1:34" x14ac:dyDescent="0.25">
      <c r="A29" s="235">
        <f t="shared" si="20"/>
        <v>1000</v>
      </c>
      <c r="B29" s="235">
        <f t="shared" si="21"/>
        <v>400</v>
      </c>
      <c r="C29" s="312">
        <v>2700</v>
      </c>
      <c r="D29" s="312">
        <v>300</v>
      </c>
      <c r="E29" s="311">
        <f t="shared" si="22"/>
        <v>32.4</v>
      </c>
      <c r="F29" s="310">
        <f t="shared" si="23"/>
        <v>32.17</v>
      </c>
      <c r="G29" s="240">
        <v>60</v>
      </c>
      <c r="H29" s="240">
        <v>242</v>
      </c>
      <c r="I29" s="239">
        <f t="shared" si="24"/>
        <v>244.57784845222238</v>
      </c>
      <c r="J29" s="240">
        <v>60</v>
      </c>
      <c r="K29" s="240">
        <v>242</v>
      </c>
      <c r="L29" s="239">
        <f t="shared" si="25"/>
        <v>244.57784845222238</v>
      </c>
      <c r="M29" s="240">
        <v>60</v>
      </c>
      <c r="N29" s="240">
        <v>245</v>
      </c>
      <c r="O29" s="239">
        <f t="shared" si="26"/>
        <v>247.60980525121687</v>
      </c>
      <c r="P29" s="309">
        <f t="shared" si="27"/>
        <v>242</v>
      </c>
      <c r="Q29" s="237">
        <f t="shared" si="28"/>
        <v>19.36</v>
      </c>
      <c r="R29" s="308">
        <f t="shared" si="29"/>
        <v>0.59753086419753088</v>
      </c>
      <c r="S29" s="293"/>
      <c r="T29" s="307">
        <f>P29/$P$27</f>
        <v>0.92720306513409967</v>
      </c>
      <c r="U29" s="306"/>
      <c r="V29" s="291"/>
      <c r="W29" s="291"/>
      <c r="AG29" s="286">
        <v>300</v>
      </c>
      <c r="AH29" s="286">
        <f>AG29/400*600</f>
        <v>450</v>
      </c>
    </row>
    <row r="30" spans="1:34" x14ac:dyDescent="0.25">
      <c r="A30" s="235">
        <f t="shared" si="20"/>
        <v>2000</v>
      </c>
      <c r="B30" s="235">
        <f t="shared" si="21"/>
        <v>400</v>
      </c>
      <c r="C30" s="312">
        <v>4700</v>
      </c>
      <c r="D30" s="312">
        <v>310</v>
      </c>
      <c r="E30" s="311">
        <f t="shared" si="22"/>
        <v>54.58064516129032</v>
      </c>
      <c r="F30" s="310">
        <f t="shared" si="23"/>
        <v>54.350645161290323</v>
      </c>
      <c r="G30" s="240">
        <v>60</v>
      </c>
      <c r="H30" s="240">
        <v>227</v>
      </c>
      <c r="I30" s="239">
        <f t="shared" si="24"/>
        <v>229.4180644572499</v>
      </c>
      <c r="J30" s="240">
        <v>60</v>
      </c>
      <c r="K30" s="240">
        <v>227</v>
      </c>
      <c r="L30" s="239">
        <f t="shared" si="25"/>
        <v>229.4180644572499</v>
      </c>
      <c r="M30" s="240">
        <v>60</v>
      </c>
      <c r="N30" s="240">
        <v>227</v>
      </c>
      <c r="O30" s="239">
        <f t="shared" si="26"/>
        <v>229.4180644572499</v>
      </c>
      <c r="P30" s="309">
        <f t="shared" si="27"/>
        <v>227</v>
      </c>
      <c r="Q30" s="237">
        <f t="shared" si="28"/>
        <v>36.32</v>
      </c>
      <c r="R30" s="308">
        <f t="shared" si="29"/>
        <v>0.66543735224586287</v>
      </c>
      <c r="S30" s="293"/>
      <c r="T30" s="307">
        <f>P30/$P$27</f>
        <v>0.86973180076628354</v>
      </c>
      <c r="U30" s="306"/>
      <c r="V30" s="291"/>
      <c r="W30" s="291"/>
      <c r="AG30" s="286">
        <v>400</v>
      </c>
      <c r="AH30" s="286">
        <f>AG30/400*600</f>
        <v>600</v>
      </c>
    </row>
    <row r="31" spans="1:34" x14ac:dyDescent="0.25">
      <c r="A31" s="235">
        <f t="shared" si="20"/>
        <v>3000</v>
      </c>
      <c r="B31" s="235">
        <f t="shared" si="21"/>
        <v>400</v>
      </c>
      <c r="C31" s="312">
        <v>7100</v>
      </c>
      <c r="D31" s="312">
        <v>300</v>
      </c>
      <c r="E31" s="311">
        <f t="shared" si="22"/>
        <v>85.2</v>
      </c>
      <c r="F31" s="310">
        <f t="shared" si="23"/>
        <v>84.97</v>
      </c>
      <c r="G31" s="240">
        <v>60</v>
      </c>
      <c r="H31" s="240">
        <v>212</v>
      </c>
      <c r="I31" s="239">
        <f t="shared" si="24"/>
        <v>214.25828046227744</v>
      </c>
      <c r="J31" s="240">
        <v>60</v>
      </c>
      <c r="K31" s="240">
        <v>210</v>
      </c>
      <c r="L31" s="239">
        <f t="shared" si="25"/>
        <v>212.23697592961446</v>
      </c>
      <c r="M31" s="240">
        <v>60</v>
      </c>
      <c r="N31" s="240">
        <v>212</v>
      </c>
      <c r="O31" s="239">
        <f t="shared" si="26"/>
        <v>214.25828046227744</v>
      </c>
      <c r="P31" s="309">
        <f t="shared" si="27"/>
        <v>212</v>
      </c>
      <c r="Q31" s="237">
        <f t="shared" si="28"/>
        <v>50.88</v>
      </c>
      <c r="R31" s="308">
        <f t="shared" si="29"/>
        <v>0.59718309859154928</v>
      </c>
      <c r="S31" s="293"/>
      <c r="T31" s="307">
        <f>P31/$P$27</f>
        <v>0.8122605363984674</v>
      </c>
      <c r="U31" s="306"/>
      <c r="V31" s="291"/>
      <c r="W31" s="291"/>
    </row>
    <row r="32" spans="1:34" x14ac:dyDescent="0.25">
      <c r="A32" s="244"/>
      <c r="B32" s="235"/>
      <c r="C32" s="312"/>
      <c r="D32" s="312"/>
      <c r="E32" s="311"/>
      <c r="F32" s="310"/>
      <c r="G32" s="240"/>
      <c r="H32" s="240"/>
      <c r="I32" s="250"/>
      <c r="J32" s="240"/>
      <c r="K32" s="240"/>
      <c r="L32" s="250"/>
      <c r="M32" s="240"/>
      <c r="N32" s="240"/>
      <c r="O32" s="250"/>
      <c r="P32" s="309"/>
      <c r="Q32" s="237"/>
      <c r="R32" s="293"/>
      <c r="S32" s="293"/>
      <c r="T32" s="307"/>
      <c r="U32" s="306"/>
      <c r="V32" s="291"/>
      <c r="W32" s="291"/>
    </row>
    <row r="33" spans="1:43" x14ac:dyDescent="0.25">
      <c r="A33" s="235">
        <f t="shared" ref="A33:A38" si="30">AA4</f>
        <v>0</v>
      </c>
      <c r="B33" s="235">
        <f t="shared" ref="B33:B38" si="31">Z$7</f>
        <v>600</v>
      </c>
      <c r="C33" s="312">
        <v>1100</v>
      </c>
      <c r="D33" s="312">
        <v>300</v>
      </c>
      <c r="E33" s="311">
        <f t="shared" ref="E33:E38" si="32">C33/1000*3600/D33</f>
        <v>13.200000000000001</v>
      </c>
      <c r="F33" s="310">
        <f t="shared" ref="F33:F38" si="33">E33-$Q$7</f>
        <v>12.97</v>
      </c>
      <c r="G33" s="240">
        <v>60</v>
      </c>
      <c r="H33" s="240">
        <v>395</v>
      </c>
      <c r="I33" s="239">
        <f t="shared" ref="I33:I38" si="34">IF(AND(G33&gt;0,H33&gt;0), H33/(G33/60)*sg_corr_factor, 0)</f>
        <v>399.2076452009415</v>
      </c>
      <c r="J33" s="240">
        <v>60</v>
      </c>
      <c r="K33" s="240">
        <v>400</v>
      </c>
      <c r="L33" s="239">
        <f t="shared" ref="L33:L38" si="35">IF(AND(J33&gt;0,K33&gt;0), K33/(J33/60)*sg_corr_factor, 0)</f>
        <v>404.26090653259894</v>
      </c>
      <c r="M33" s="240">
        <v>60</v>
      </c>
      <c r="N33" s="240">
        <v>401</v>
      </c>
      <c r="O33" s="239">
        <f t="shared" ref="O33:O38" si="36">IF(AND(M33&gt;0,N33&gt;0), N33/(M33/60)*sg_corr_factor, 0)</f>
        <v>405.27155879893047</v>
      </c>
      <c r="P33" s="309">
        <f t="shared" ref="P33:P38" si="37">AVERAGE(I33,L33,O33)</f>
        <v>402.91337017749032</v>
      </c>
      <c r="Q33" s="237">
        <f t="shared" ref="Q33:Q38" si="38">P33/100*A33/100*0.8</f>
        <v>0</v>
      </c>
      <c r="R33" s="308">
        <f t="shared" ref="R33:R38" si="39">Q33/E33</f>
        <v>0</v>
      </c>
      <c r="S33" s="293"/>
      <c r="T33" s="307"/>
      <c r="U33" s="306"/>
      <c r="V33" s="291"/>
      <c r="W33" s="291"/>
      <c r="X33" s="249"/>
      <c r="Y33" s="288" t="s">
        <v>393</v>
      </c>
      <c r="Z33" s="248"/>
    </row>
    <row r="34" spans="1:43" x14ac:dyDescent="0.25">
      <c r="A34" s="235">
        <f t="shared" si="30"/>
        <v>100</v>
      </c>
      <c r="B34" s="235">
        <f t="shared" si="31"/>
        <v>600</v>
      </c>
      <c r="C34" s="312">
        <v>1600</v>
      </c>
      <c r="D34" s="312">
        <v>310</v>
      </c>
      <c r="E34" s="311">
        <f t="shared" si="32"/>
        <v>18.580645161290324</v>
      </c>
      <c r="F34" s="310">
        <f t="shared" si="33"/>
        <v>18.350645161290323</v>
      </c>
      <c r="G34" s="240">
        <v>60</v>
      </c>
      <c r="H34" s="240">
        <v>390</v>
      </c>
      <c r="I34" s="239">
        <f t="shared" si="34"/>
        <v>394.154383869284</v>
      </c>
      <c r="J34" s="240">
        <v>60</v>
      </c>
      <c r="K34" s="240">
        <v>387</v>
      </c>
      <c r="L34" s="239">
        <f t="shared" si="35"/>
        <v>391.12242707028952</v>
      </c>
      <c r="M34" s="240">
        <v>60</v>
      </c>
      <c r="N34" s="240">
        <v>389</v>
      </c>
      <c r="O34" s="239">
        <f t="shared" si="36"/>
        <v>393.14373160295247</v>
      </c>
      <c r="P34" s="309">
        <f t="shared" si="37"/>
        <v>392.80684751417539</v>
      </c>
      <c r="Q34" s="237">
        <f t="shared" si="38"/>
        <v>3.1424547801134035</v>
      </c>
      <c r="R34" s="308">
        <f t="shared" si="39"/>
        <v>0.1691251704574922</v>
      </c>
      <c r="S34" s="293"/>
      <c r="T34" s="307">
        <f>P34/$P$34</f>
        <v>1</v>
      </c>
      <c r="U34" s="306"/>
      <c r="V34" s="291"/>
      <c r="W34" s="291"/>
      <c r="AG34" s="286">
        <v>100</v>
      </c>
      <c r="AH34" s="286">
        <f>AG34/400*600</f>
        <v>150</v>
      </c>
      <c r="AQ34" s="286" t="s">
        <v>406</v>
      </c>
    </row>
    <row r="35" spans="1:43" x14ac:dyDescent="0.25">
      <c r="A35" s="235">
        <f t="shared" si="30"/>
        <v>500</v>
      </c>
      <c r="B35" s="235">
        <f t="shared" si="31"/>
        <v>600</v>
      </c>
      <c r="C35" s="312">
        <v>2500</v>
      </c>
      <c r="D35" s="312">
        <v>300</v>
      </c>
      <c r="E35" s="311">
        <f t="shared" si="32"/>
        <v>30</v>
      </c>
      <c r="F35" s="310">
        <f t="shared" si="33"/>
        <v>29.77</v>
      </c>
      <c r="G35" s="240">
        <v>60</v>
      </c>
      <c r="H35" s="240">
        <v>378</v>
      </c>
      <c r="I35" s="239">
        <f t="shared" si="34"/>
        <v>382.026556673306</v>
      </c>
      <c r="J35" s="240">
        <v>60</v>
      </c>
      <c r="K35" s="240">
        <v>375</v>
      </c>
      <c r="L35" s="239">
        <f t="shared" si="35"/>
        <v>378.99459987431152</v>
      </c>
      <c r="M35" s="240">
        <v>60</v>
      </c>
      <c r="N35" s="240">
        <v>375</v>
      </c>
      <c r="O35" s="239">
        <f t="shared" si="36"/>
        <v>378.99459987431152</v>
      </c>
      <c r="P35" s="309">
        <f t="shared" si="37"/>
        <v>380.00525214064299</v>
      </c>
      <c r="Q35" s="237">
        <f t="shared" si="38"/>
        <v>15.200210085625722</v>
      </c>
      <c r="R35" s="308">
        <f t="shared" si="39"/>
        <v>0.50667366952085735</v>
      </c>
      <c r="S35" s="293"/>
      <c r="T35" s="307">
        <f>P35/$P$34</f>
        <v>0.96740994854202378</v>
      </c>
      <c r="U35" s="306"/>
      <c r="V35" s="291"/>
      <c r="W35" s="291"/>
      <c r="AG35" s="286">
        <v>200</v>
      </c>
      <c r="AH35" s="286">
        <f>AG35/400*600</f>
        <v>300</v>
      </c>
    </row>
    <row r="36" spans="1:43" x14ac:dyDescent="0.25">
      <c r="A36" s="235">
        <f t="shared" si="30"/>
        <v>1000</v>
      </c>
      <c r="B36" s="235">
        <f t="shared" si="31"/>
        <v>600</v>
      </c>
      <c r="C36" s="312">
        <v>5000</v>
      </c>
      <c r="D36" s="312">
        <v>418</v>
      </c>
      <c r="E36" s="311">
        <f t="shared" si="32"/>
        <v>43.062200956937801</v>
      </c>
      <c r="F36" s="310">
        <f t="shared" si="33"/>
        <v>42.832200956937804</v>
      </c>
      <c r="G36" s="240">
        <v>60</v>
      </c>
      <c r="H36" s="240">
        <v>360</v>
      </c>
      <c r="I36" s="239">
        <f t="shared" si="34"/>
        <v>363.83481587933909</v>
      </c>
      <c r="J36" s="240">
        <v>60</v>
      </c>
      <c r="K36" s="240">
        <v>360</v>
      </c>
      <c r="L36" s="239">
        <f t="shared" si="35"/>
        <v>363.83481587933909</v>
      </c>
      <c r="M36" s="240">
        <v>60</v>
      </c>
      <c r="N36" s="240">
        <v>365</v>
      </c>
      <c r="O36" s="239">
        <f t="shared" si="36"/>
        <v>368.88807721099653</v>
      </c>
      <c r="P36" s="309">
        <f t="shared" si="37"/>
        <v>365.5192363232249</v>
      </c>
      <c r="Q36" s="237">
        <f t="shared" si="38"/>
        <v>29.241538905857993</v>
      </c>
      <c r="R36" s="308">
        <f t="shared" si="39"/>
        <v>0.67905351459159113</v>
      </c>
      <c r="S36" s="293"/>
      <c r="T36" s="307">
        <f>P36/$P$34</f>
        <v>0.93053173241852472</v>
      </c>
      <c r="U36" s="306"/>
      <c r="V36" s="291"/>
      <c r="W36" s="291"/>
      <c r="AG36" s="286">
        <v>300</v>
      </c>
      <c r="AH36" s="286">
        <f>AG36/400*600</f>
        <v>450</v>
      </c>
    </row>
    <row r="37" spans="1:43" x14ac:dyDescent="0.25">
      <c r="A37" s="235">
        <f t="shared" si="30"/>
        <v>2000</v>
      </c>
      <c r="B37" s="235">
        <f t="shared" si="31"/>
        <v>600</v>
      </c>
      <c r="C37" s="312">
        <v>6500</v>
      </c>
      <c r="D37" s="312">
        <v>300</v>
      </c>
      <c r="E37" s="311">
        <f t="shared" si="32"/>
        <v>78</v>
      </c>
      <c r="F37" s="310">
        <f t="shared" si="33"/>
        <v>77.77</v>
      </c>
      <c r="G37" s="240">
        <v>60</v>
      </c>
      <c r="H37" s="240">
        <v>340</v>
      </c>
      <c r="I37" s="239">
        <f t="shared" si="34"/>
        <v>343.62177055270911</v>
      </c>
      <c r="J37" s="240">
        <v>60</v>
      </c>
      <c r="K37" s="240">
        <v>340</v>
      </c>
      <c r="L37" s="239">
        <f t="shared" si="35"/>
        <v>343.62177055270911</v>
      </c>
      <c r="M37" s="240">
        <v>60</v>
      </c>
      <c r="N37" s="240">
        <v>338</v>
      </c>
      <c r="O37" s="239">
        <f t="shared" si="36"/>
        <v>341.6004660200461</v>
      </c>
      <c r="P37" s="309">
        <f t="shared" si="37"/>
        <v>342.94800237515477</v>
      </c>
      <c r="Q37" s="237">
        <f t="shared" si="38"/>
        <v>54.87168038002477</v>
      </c>
      <c r="R37" s="308">
        <f t="shared" si="39"/>
        <v>0.70348308179518937</v>
      </c>
      <c r="S37" s="293"/>
      <c r="T37" s="307">
        <f>P37/$P$34</f>
        <v>0.87307032590051437</v>
      </c>
      <c r="U37" s="306"/>
      <c r="V37" s="291"/>
      <c r="W37" s="291"/>
      <c r="AG37" s="286">
        <v>400</v>
      </c>
      <c r="AH37" s="286">
        <f>AG37/400*600</f>
        <v>600</v>
      </c>
    </row>
    <row r="38" spans="1:43" x14ac:dyDescent="0.25">
      <c r="A38" s="235">
        <f t="shared" si="30"/>
        <v>3000</v>
      </c>
      <c r="B38" s="235">
        <f t="shared" si="31"/>
        <v>600</v>
      </c>
      <c r="C38" s="312">
        <v>10250</v>
      </c>
      <c r="D38" s="312">
        <v>310</v>
      </c>
      <c r="E38" s="311">
        <f t="shared" si="32"/>
        <v>119.03225806451613</v>
      </c>
      <c r="F38" s="310">
        <f t="shared" si="33"/>
        <v>118.80225806451612</v>
      </c>
      <c r="G38" s="240">
        <v>60</v>
      </c>
      <c r="H38" s="240">
        <v>317</v>
      </c>
      <c r="I38" s="239">
        <f t="shared" si="34"/>
        <v>320.3767684270847</v>
      </c>
      <c r="J38" s="240">
        <v>60</v>
      </c>
      <c r="K38" s="240">
        <v>323</v>
      </c>
      <c r="L38" s="239">
        <f t="shared" si="35"/>
        <v>326.44068202507367</v>
      </c>
      <c r="M38" s="240">
        <v>60</v>
      </c>
      <c r="N38" s="240">
        <v>319</v>
      </c>
      <c r="O38" s="239">
        <f t="shared" si="36"/>
        <v>322.39807295974765</v>
      </c>
      <c r="P38" s="309">
        <f t="shared" si="37"/>
        <v>323.07184113730199</v>
      </c>
      <c r="Q38" s="237">
        <f t="shared" si="38"/>
        <v>77.537241872952492</v>
      </c>
      <c r="R38" s="308">
        <f t="shared" si="39"/>
        <v>0.65139688294350329</v>
      </c>
      <c r="S38" s="293"/>
      <c r="T38" s="307">
        <f>P38/$P$34</f>
        <v>0.82246998284734119</v>
      </c>
      <c r="U38" s="306"/>
      <c r="V38" s="291"/>
      <c r="W38" s="291"/>
    </row>
    <row r="39" spans="1:43" x14ac:dyDescent="0.25">
      <c r="A39" s="235"/>
      <c r="B39" s="235"/>
      <c r="C39" s="312"/>
      <c r="D39" s="312"/>
      <c r="E39" s="311"/>
      <c r="F39" s="310"/>
      <c r="G39" s="240"/>
      <c r="H39" s="240"/>
      <c r="I39" s="239"/>
      <c r="J39" s="240"/>
      <c r="K39" s="240"/>
      <c r="L39" s="239"/>
      <c r="M39" s="240"/>
      <c r="N39" s="240"/>
      <c r="O39" s="239"/>
      <c r="P39" s="309"/>
      <c r="Q39" s="237"/>
      <c r="R39" s="293"/>
      <c r="S39" s="293"/>
      <c r="T39" s="307"/>
      <c r="U39" s="306"/>
      <c r="V39" s="291"/>
      <c r="W39" s="291"/>
    </row>
    <row r="40" spans="1:43" x14ac:dyDescent="0.25">
      <c r="A40" s="235">
        <f t="shared" ref="A40:A45" si="40">AA4</f>
        <v>0</v>
      </c>
      <c r="B40" s="235">
        <f t="shared" ref="B40:B45" si="41">Z$8</f>
        <v>800</v>
      </c>
      <c r="C40" s="312">
        <v>1600</v>
      </c>
      <c r="D40" s="312">
        <v>312</v>
      </c>
      <c r="E40" s="311">
        <f t="shared" ref="E40:E45" si="42">C40/1000*3600/D40</f>
        <v>18.46153846153846</v>
      </c>
      <c r="F40" s="310">
        <f t="shared" ref="F40:F45" si="43">E40-$Q$7</f>
        <v>18.231538461538459</v>
      </c>
      <c r="G40" s="240">
        <v>60</v>
      </c>
      <c r="H40" s="240">
        <v>542</v>
      </c>
      <c r="I40" s="239">
        <f t="shared" ref="I40:I45" si="44">IF(AND(G40&gt;0,H40&gt;0), H40/(G40/60)*sg_corr_factor, 0)</f>
        <v>547.77352835167164</v>
      </c>
      <c r="J40" s="240">
        <v>60</v>
      </c>
      <c r="K40" s="240">
        <v>543</v>
      </c>
      <c r="L40" s="239">
        <f t="shared" ref="L40:L45" si="45">IF(AND(J40&gt;0,K40&gt;0), K40/(J40/60)*sg_corr_factor, 0)</f>
        <v>548.78418061800312</v>
      </c>
      <c r="M40" s="240">
        <v>60</v>
      </c>
      <c r="N40" s="240">
        <v>542</v>
      </c>
      <c r="O40" s="239">
        <f t="shared" ref="O40:O45" si="46">IF(AND(M40&gt;0,N40&gt;0), N40/(M40/60)*sg_corr_factor, 0)</f>
        <v>547.77352835167164</v>
      </c>
      <c r="P40" s="309">
        <f t="shared" ref="P40:P45" si="47">AVERAGE(I40,L40,O40)</f>
        <v>548.11041244044884</v>
      </c>
      <c r="Q40" s="237">
        <f t="shared" ref="Q40:Q45" si="48">P40/100*A40/100*0.8</f>
        <v>0</v>
      </c>
      <c r="R40" s="308">
        <f t="shared" ref="R40:R45" si="49">Q40/E40</f>
        <v>0</v>
      </c>
      <c r="S40" s="293"/>
      <c r="T40" s="307"/>
      <c r="U40" s="306"/>
      <c r="V40" s="291"/>
      <c r="W40" s="291"/>
      <c r="X40" s="249"/>
      <c r="Y40" s="288" t="s">
        <v>393</v>
      </c>
      <c r="Z40" s="248"/>
    </row>
    <row r="41" spans="1:43" x14ac:dyDescent="0.25">
      <c r="A41" s="235">
        <f t="shared" si="40"/>
        <v>100</v>
      </c>
      <c r="B41" s="235">
        <f t="shared" si="41"/>
        <v>800</v>
      </c>
      <c r="C41" s="312">
        <v>2000</v>
      </c>
      <c r="D41" s="312">
        <v>312</v>
      </c>
      <c r="E41" s="311">
        <f t="shared" si="42"/>
        <v>23.076923076923077</v>
      </c>
      <c r="F41" s="310">
        <f t="shared" si="43"/>
        <v>22.846923076923076</v>
      </c>
      <c r="G41" s="240">
        <v>60</v>
      </c>
      <c r="H41" s="240">
        <v>520</v>
      </c>
      <c r="I41" s="239">
        <f t="shared" si="44"/>
        <v>525.5391784923786</v>
      </c>
      <c r="J41" s="240">
        <v>60</v>
      </c>
      <c r="K41" s="240">
        <v>522</v>
      </c>
      <c r="L41" s="239">
        <f t="shared" si="45"/>
        <v>527.56048302504166</v>
      </c>
      <c r="M41" s="240">
        <v>60</v>
      </c>
      <c r="N41" s="240">
        <v>525</v>
      </c>
      <c r="O41" s="239">
        <f t="shared" si="46"/>
        <v>530.59243982403609</v>
      </c>
      <c r="P41" s="309">
        <f t="shared" si="47"/>
        <v>527.89736711381886</v>
      </c>
      <c r="Q41" s="237">
        <f t="shared" si="48"/>
        <v>4.2231789369105508</v>
      </c>
      <c r="R41" s="308">
        <f t="shared" si="49"/>
        <v>0.18300442059945721</v>
      </c>
      <c r="S41" s="293"/>
      <c r="T41" s="307">
        <f>P41/$P$41</f>
        <v>1</v>
      </c>
      <c r="U41" s="306"/>
      <c r="V41" s="291"/>
      <c r="W41" s="291"/>
      <c r="AG41" s="286">
        <v>100</v>
      </c>
      <c r="AH41" s="286">
        <f>AG41/400*600</f>
        <v>150</v>
      </c>
    </row>
    <row r="42" spans="1:43" x14ac:dyDescent="0.25">
      <c r="A42" s="235">
        <f t="shared" si="40"/>
        <v>500</v>
      </c>
      <c r="B42" s="235">
        <f t="shared" si="41"/>
        <v>800</v>
      </c>
      <c r="C42" s="312">
        <v>3200</v>
      </c>
      <c r="D42" s="312">
        <v>310</v>
      </c>
      <c r="E42" s="311">
        <f t="shared" si="42"/>
        <v>37.161290322580648</v>
      </c>
      <c r="F42" s="310">
        <f t="shared" si="43"/>
        <v>36.931290322580651</v>
      </c>
      <c r="G42" s="240">
        <v>60</v>
      </c>
      <c r="H42" s="240">
        <v>500</v>
      </c>
      <c r="I42" s="239">
        <f t="shared" si="44"/>
        <v>505.32613316574873</v>
      </c>
      <c r="J42" s="240">
        <v>60</v>
      </c>
      <c r="K42" s="240">
        <v>506</v>
      </c>
      <c r="L42" s="239">
        <f t="shared" si="45"/>
        <v>511.3900467637377</v>
      </c>
      <c r="M42" s="240">
        <v>60</v>
      </c>
      <c r="N42" s="240">
        <v>505</v>
      </c>
      <c r="O42" s="239">
        <f t="shared" si="46"/>
        <v>510.37939449740617</v>
      </c>
      <c r="P42" s="309">
        <f t="shared" si="47"/>
        <v>509.03185814229755</v>
      </c>
      <c r="Q42" s="237">
        <f t="shared" si="48"/>
        <v>20.361274325691905</v>
      </c>
      <c r="R42" s="308">
        <f t="shared" si="49"/>
        <v>0.54791623619483421</v>
      </c>
      <c r="S42" s="293"/>
      <c r="T42" s="307">
        <f>P42/$P$41</f>
        <v>0.96426292278238668</v>
      </c>
      <c r="U42" s="306"/>
      <c r="V42" s="291"/>
      <c r="W42" s="291"/>
      <c r="AG42" s="286">
        <v>200</v>
      </c>
      <c r="AH42" s="286">
        <f>AG42/400*600</f>
        <v>300</v>
      </c>
    </row>
    <row r="43" spans="1:43" x14ac:dyDescent="0.25">
      <c r="A43" s="235">
        <f t="shared" si="40"/>
        <v>1000</v>
      </c>
      <c r="B43" s="235">
        <f t="shared" si="41"/>
        <v>800</v>
      </c>
      <c r="C43" s="312">
        <v>6550</v>
      </c>
      <c r="D43" s="312">
        <v>420</v>
      </c>
      <c r="E43" s="311">
        <f t="shared" si="42"/>
        <v>56.142857142857146</v>
      </c>
      <c r="F43" s="310">
        <f t="shared" si="43"/>
        <v>55.912857142857149</v>
      </c>
      <c r="G43" s="240">
        <v>60</v>
      </c>
      <c r="H43" s="240">
        <v>477</v>
      </c>
      <c r="I43" s="239">
        <f t="shared" si="44"/>
        <v>482.08113104012426</v>
      </c>
      <c r="J43" s="240">
        <v>60</v>
      </c>
      <c r="K43" s="240">
        <v>483</v>
      </c>
      <c r="L43" s="239">
        <f t="shared" si="45"/>
        <v>488.14504463811323</v>
      </c>
      <c r="M43" s="240">
        <v>60</v>
      </c>
      <c r="N43" s="240">
        <v>480</v>
      </c>
      <c r="O43" s="239">
        <f t="shared" si="46"/>
        <v>485.11308783911875</v>
      </c>
      <c r="P43" s="309">
        <f t="shared" si="47"/>
        <v>485.1130878391188</v>
      </c>
      <c r="Q43" s="237">
        <f t="shared" si="48"/>
        <v>38.809047027129509</v>
      </c>
      <c r="R43" s="308">
        <f t="shared" si="49"/>
        <v>0.6912552905595587</v>
      </c>
      <c r="S43" s="293"/>
      <c r="T43" s="307">
        <f>P43/$P$41</f>
        <v>0.91895341416719845</v>
      </c>
      <c r="U43" s="306"/>
      <c r="V43" s="291"/>
      <c r="W43" s="291"/>
      <c r="AG43" s="286">
        <v>300</v>
      </c>
      <c r="AH43" s="286">
        <f>AG43/400*600</f>
        <v>450</v>
      </c>
    </row>
    <row r="44" spans="1:43" x14ac:dyDescent="0.25">
      <c r="A44" s="235">
        <f t="shared" si="40"/>
        <v>2000</v>
      </c>
      <c r="B44" s="235">
        <f t="shared" si="41"/>
        <v>800</v>
      </c>
      <c r="C44" s="312">
        <v>8500</v>
      </c>
      <c r="D44" s="312">
        <v>310</v>
      </c>
      <c r="E44" s="311">
        <f t="shared" si="42"/>
        <v>98.709677419354833</v>
      </c>
      <c r="F44" s="310">
        <f t="shared" si="43"/>
        <v>98.479677419354829</v>
      </c>
      <c r="G44" s="240">
        <v>60</v>
      </c>
      <c r="H44" s="240">
        <v>450</v>
      </c>
      <c r="I44" s="239">
        <f t="shared" si="44"/>
        <v>454.79351984917383</v>
      </c>
      <c r="J44" s="240">
        <v>60</v>
      </c>
      <c r="K44" s="240">
        <v>451</v>
      </c>
      <c r="L44" s="239">
        <f t="shared" si="45"/>
        <v>455.80417211550531</v>
      </c>
      <c r="M44" s="240">
        <v>60</v>
      </c>
      <c r="N44" s="240">
        <v>450</v>
      </c>
      <c r="O44" s="239">
        <f t="shared" si="46"/>
        <v>454.79351984917383</v>
      </c>
      <c r="P44" s="309">
        <f t="shared" si="47"/>
        <v>455.13040393795103</v>
      </c>
      <c r="Q44" s="237">
        <f t="shared" si="48"/>
        <v>72.820864630072165</v>
      </c>
      <c r="R44" s="308">
        <f t="shared" si="49"/>
        <v>0.73772771357262656</v>
      </c>
      <c r="S44" s="293"/>
      <c r="T44" s="307">
        <f>P44/$P$41</f>
        <v>0.86215698787492023</v>
      </c>
      <c r="U44" s="306"/>
      <c r="V44" s="291"/>
      <c r="W44" s="291"/>
      <c r="AG44" s="286">
        <v>400</v>
      </c>
      <c r="AH44" s="286">
        <f>AG44/400*600</f>
        <v>600</v>
      </c>
    </row>
    <row r="45" spans="1:43" x14ac:dyDescent="0.25">
      <c r="A45" s="235">
        <f t="shared" si="40"/>
        <v>3000</v>
      </c>
      <c r="B45" s="235">
        <f t="shared" si="41"/>
        <v>800</v>
      </c>
      <c r="C45" s="312">
        <v>12500</v>
      </c>
      <c r="D45" s="312">
        <v>330</v>
      </c>
      <c r="E45" s="311">
        <f t="shared" si="42"/>
        <v>136.36363636363637</v>
      </c>
      <c r="F45" s="310">
        <f t="shared" si="43"/>
        <v>136.13363636363638</v>
      </c>
      <c r="G45" s="240">
        <v>60</v>
      </c>
      <c r="H45" s="240">
        <v>420</v>
      </c>
      <c r="I45" s="239">
        <f t="shared" si="44"/>
        <v>424.47395185922892</v>
      </c>
      <c r="J45" s="240">
        <v>60</v>
      </c>
      <c r="K45" s="240">
        <v>415</v>
      </c>
      <c r="L45" s="239">
        <f t="shared" si="45"/>
        <v>419.42069052757142</v>
      </c>
      <c r="M45" s="240">
        <v>60</v>
      </c>
      <c r="N45" s="240">
        <v>414</v>
      </c>
      <c r="O45" s="239">
        <f t="shared" si="46"/>
        <v>418.41003826123995</v>
      </c>
      <c r="P45" s="309">
        <f t="shared" si="47"/>
        <v>420.76822688268004</v>
      </c>
      <c r="Q45" s="237">
        <f t="shared" si="48"/>
        <v>100.98437445184322</v>
      </c>
      <c r="R45" s="308">
        <f t="shared" si="49"/>
        <v>0.74055207931351696</v>
      </c>
      <c r="S45" s="293"/>
      <c r="T45" s="307">
        <f>P45/$P$41</f>
        <v>0.79706445437141016</v>
      </c>
      <c r="U45" s="306"/>
      <c r="V45" s="291"/>
      <c r="W45" s="291"/>
    </row>
    <row r="46" spans="1:43" x14ac:dyDescent="0.25">
      <c r="A46" s="244"/>
      <c r="B46" s="235"/>
      <c r="C46" s="312"/>
      <c r="D46" s="312"/>
      <c r="E46" s="311"/>
      <c r="F46" s="310"/>
      <c r="G46" s="240"/>
      <c r="H46" s="240"/>
      <c r="I46" s="239"/>
      <c r="J46" s="240"/>
      <c r="K46" s="240"/>
      <c r="L46" s="239"/>
      <c r="M46" s="240"/>
      <c r="N46" s="240"/>
      <c r="O46" s="239"/>
      <c r="P46" s="309"/>
      <c r="Q46" s="237"/>
      <c r="R46" s="293"/>
      <c r="S46" s="293"/>
      <c r="T46" s="307"/>
      <c r="U46" s="306"/>
      <c r="V46" s="291"/>
      <c r="W46" s="291"/>
    </row>
    <row r="47" spans="1:43" x14ac:dyDescent="0.25">
      <c r="A47" s="235">
        <f t="shared" ref="A47:A52" si="50">AA4</f>
        <v>0</v>
      </c>
      <c r="B47" s="235">
        <f t="shared" ref="B47:B52" si="51">Z$9</f>
        <v>1000</v>
      </c>
      <c r="C47" s="312">
        <v>1700</v>
      </c>
      <c r="D47" s="312">
        <v>310</v>
      </c>
      <c r="E47" s="311">
        <f t="shared" ref="E47:E52" si="52">C47/1000*3600/D47</f>
        <v>19.741935483870968</v>
      </c>
      <c r="F47" s="310">
        <f t="shared" ref="F47:F52" si="53">E47-$Q$7</f>
        <v>19.511935483870968</v>
      </c>
      <c r="G47" s="240">
        <v>60</v>
      </c>
      <c r="H47" s="240">
        <v>676</v>
      </c>
      <c r="I47" s="239">
        <f t="shared" ref="I47:I52" si="54">IF(AND(G47&gt;0,H47&gt;0), H47/(G47/60)*sg_corr_factor, 0)</f>
        <v>683.2009320400922</v>
      </c>
      <c r="J47" s="240">
        <v>60</v>
      </c>
      <c r="K47" s="240">
        <v>675</v>
      </c>
      <c r="L47" s="239">
        <f t="shared" ref="L47:L52" si="55">IF(AND(J47&gt;0,K47&gt;0), K47/(J47/60)*sg_corr_factor, 0)</f>
        <v>682.19027977376072</v>
      </c>
      <c r="M47" s="240">
        <v>60</v>
      </c>
      <c r="N47" s="240">
        <v>676</v>
      </c>
      <c r="O47" s="239">
        <f t="shared" ref="O47:O52" si="56">IF(AND(M47&gt;0,N47&gt;0), N47/(M47/60)*sg_corr_factor, 0)</f>
        <v>683.2009320400922</v>
      </c>
      <c r="P47" s="309">
        <f t="shared" ref="P47:P52" si="57">AVERAGE(I47,L47,O47)</f>
        <v>682.864047951315</v>
      </c>
      <c r="Q47" s="237">
        <f t="shared" ref="Q47:Q52" si="58">P47/100*A47/100*0.8</f>
        <v>0</v>
      </c>
      <c r="R47" s="308">
        <f t="shared" ref="R47:R52" si="59">Q47/E47</f>
        <v>0</v>
      </c>
      <c r="S47" s="293"/>
      <c r="T47" s="307"/>
      <c r="U47" s="306"/>
      <c r="V47" s="291"/>
      <c r="W47" s="291"/>
      <c r="X47" s="249"/>
      <c r="Y47" s="288" t="s">
        <v>393</v>
      </c>
      <c r="Z47" s="248"/>
    </row>
    <row r="48" spans="1:43" x14ac:dyDescent="0.25">
      <c r="A48" s="235">
        <f t="shared" si="50"/>
        <v>100</v>
      </c>
      <c r="B48" s="235">
        <f t="shared" si="51"/>
        <v>1000</v>
      </c>
      <c r="C48" s="312">
        <v>2800</v>
      </c>
      <c r="D48" s="312">
        <v>330</v>
      </c>
      <c r="E48" s="311">
        <f t="shared" si="52"/>
        <v>30.545454545454547</v>
      </c>
      <c r="F48" s="310">
        <f t="shared" si="53"/>
        <v>30.315454545454546</v>
      </c>
      <c r="G48" s="240">
        <v>60</v>
      </c>
      <c r="H48" s="240">
        <v>643</v>
      </c>
      <c r="I48" s="239">
        <f t="shared" si="54"/>
        <v>649.8494072511528</v>
      </c>
      <c r="J48" s="240">
        <v>60</v>
      </c>
      <c r="K48" s="240">
        <v>644</v>
      </c>
      <c r="L48" s="239">
        <f t="shared" si="55"/>
        <v>650.86005951748427</v>
      </c>
      <c r="M48" s="240">
        <v>60</v>
      </c>
      <c r="N48" s="240">
        <v>645</v>
      </c>
      <c r="O48" s="239">
        <f t="shared" si="56"/>
        <v>651.87071178381586</v>
      </c>
      <c r="P48" s="309">
        <f t="shared" si="57"/>
        <v>650.86005951748427</v>
      </c>
      <c r="Q48" s="237">
        <f t="shared" si="58"/>
        <v>5.206880476139875</v>
      </c>
      <c r="R48" s="308">
        <f t="shared" si="59"/>
        <v>0.1704633489212459</v>
      </c>
      <c r="S48" s="293"/>
      <c r="T48" s="307">
        <f>P48/$P$48</f>
        <v>1</v>
      </c>
      <c r="U48" s="306"/>
      <c r="V48" s="291"/>
      <c r="W48" s="291"/>
      <c r="AG48" s="286">
        <v>100</v>
      </c>
      <c r="AH48" s="286">
        <f>AG48/400*600</f>
        <v>150</v>
      </c>
    </row>
    <row r="49" spans="1:34" x14ac:dyDescent="0.25">
      <c r="A49" s="235">
        <f t="shared" si="50"/>
        <v>500</v>
      </c>
      <c r="B49" s="235">
        <f t="shared" si="51"/>
        <v>1000</v>
      </c>
      <c r="C49" s="312">
        <v>4250</v>
      </c>
      <c r="D49" s="312">
        <v>300</v>
      </c>
      <c r="E49" s="311">
        <f t="shared" si="52"/>
        <v>51</v>
      </c>
      <c r="F49" s="310">
        <f t="shared" si="53"/>
        <v>50.77</v>
      </c>
      <c r="G49" s="240">
        <v>60</v>
      </c>
      <c r="H49" s="240">
        <v>625</v>
      </c>
      <c r="I49" s="239">
        <f t="shared" si="54"/>
        <v>631.65766645718588</v>
      </c>
      <c r="J49" s="240">
        <v>60</v>
      </c>
      <c r="K49" s="240">
        <v>623</v>
      </c>
      <c r="L49" s="239">
        <f t="shared" si="55"/>
        <v>629.63636192452293</v>
      </c>
      <c r="M49" s="240">
        <v>60</v>
      </c>
      <c r="N49" s="240">
        <v>623</v>
      </c>
      <c r="O49" s="239">
        <f t="shared" si="56"/>
        <v>629.63636192452293</v>
      </c>
      <c r="P49" s="309">
        <f t="shared" si="57"/>
        <v>630.31013010207732</v>
      </c>
      <c r="Q49" s="237">
        <f t="shared" si="58"/>
        <v>25.212405204083097</v>
      </c>
      <c r="R49" s="308">
        <f t="shared" si="59"/>
        <v>0.49436088635457054</v>
      </c>
      <c r="S49" s="293"/>
      <c r="T49" s="307">
        <f>P49/$P$48</f>
        <v>0.9684265010351969</v>
      </c>
      <c r="U49" s="306"/>
      <c r="V49" s="291"/>
      <c r="W49" s="291"/>
      <c r="AG49" s="286">
        <v>200</v>
      </c>
      <c r="AH49" s="286">
        <f>AG49/400*600</f>
        <v>300</v>
      </c>
    </row>
    <row r="50" spans="1:34" x14ac:dyDescent="0.25">
      <c r="A50" s="235">
        <f t="shared" si="50"/>
        <v>1000</v>
      </c>
      <c r="B50" s="235">
        <f t="shared" si="51"/>
        <v>1000</v>
      </c>
      <c r="C50" s="312">
        <v>6500</v>
      </c>
      <c r="D50" s="312">
        <v>310</v>
      </c>
      <c r="E50" s="311">
        <f t="shared" si="52"/>
        <v>75.483870967741936</v>
      </c>
      <c r="F50" s="310">
        <f t="shared" si="53"/>
        <v>75.253870967741932</v>
      </c>
      <c r="G50" s="240">
        <v>60</v>
      </c>
      <c r="H50" s="240">
        <v>602</v>
      </c>
      <c r="I50" s="239">
        <f t="shared" si="54"/>
        <v>608.41266433156147</v>
      </c>
      <c r="J50" s="240">
        <v>60</v>
      </c>
      <c r="K50" s="240">
        <v>603</v>
      </c>
      <c r="L50" s="239">
        <f t="shared" si="55"/>
        <v>609.42331659789295</v>
      </c>
      <c r="M50" s="240">
        <v>60</v>
      </c>
      <c r="N50" s="240">
        <v>603</v>
      </c>
      <c r="O50" s="239">
        <f t="shared" si="56"/>
        <v>609.42331659789295</v>
      </c>
      <c r="P50" s="309">
        <f t="shared" si="57"/>
        <v>609.08643250911575</v>
      </c>
      <c r="Q50" s="237">
        <f t="shared" si="58"/>
        <v>48.726914600729259</v>
      </c>
      <c r="R50" s="308">
        <f t="shared" si="59"/>
        <v>0.64552750112077228</v>
      </c>
      <c r="S50" s="293"/>
      <c r="T50" s="307">
        <f>P50/$P$48</f>
        <v>0.93581780538302284</v>
      </c>
      <c r="U50" s="306"/>
      <c r="V50" s="291"/>
      <c r="W50" s="291"/>
      <c r="AG50" s="286">
        <v>300</v>
      </c>
      <c r="AH50" s="286">
        <f>AG50/400*600</f>
        <v>450</v>
      </c>
    </row>
    <row r="51" spans="1:34" x14ac:dyDescent="0.25">
      <c r="A51" s="235">
        <f t="shared" si="50"/>
        <v>2000</v>
      </c>
      <c r="B51" s="235">
        <f t="shared" si="51"/>
        <v>1000</v>
      </c>
      <c r="C51" s="312">
        <v>11000</v>
      </c>
      <c r="D51" s="312">
        <v>300</v>
      </c>
      <c r="E51" s="311">
        <f t="shared" si="52"/>
        <v>132</v>
      </c>
      <c r="F51" s="310">
        <f t="shared" si="53"/>
        <v>131.77000000000001</v>
      </c>
      <c r="G51" s="240">
        <v>60</v>
      </c>
      <c r="H51" s="240">
        <v>555</v>
      </c>
      <c r="I51" s="239">
        <f t="shared" si="54"/>
        <v>560.91200781398106</v>
      </c>
      <c r="J51" s="240">
        <v>60</v>
      </c>
      <c r="K51" s="240">
        <v>560</v>
      </c>
      <c r="L51" s="239">
        <f t="shared" si="55"/>
        <v>565.96526914563856</v>
      </c>
      <c r="M51" s="240">
        <v>60</v>
      </c>
      <c r="N51" s="240">
        <v>558</v>
      </c>
      <c r="O51" s="239">
        <f t="shared" si="56"/>
        <v>563.94396461297561</v>
      </c>
      <c r="P51" s="309">
        <f t="shared" si="57"/>
        <v>563.60708052419841</v>
      </c>
      <c r="Q51" s="237">
        <f t="shared" si="58"/>
        <v>90.177132883871749</v>
      </c>
      <c r="R51" s="308">
        <f t="shared" si="59"/>
        <v>0.683160097605089</v>
      </c>
      <c r="S51" s="293"/>
      <c r="T51" s="307">
        <f>P51/$P$48</f>
        <v>0.86594202898550732</v>
      </c>
      <c r="U51" s="306"/>
      <c r="V51" s="291"/>
      <c r="W51" s="291"/>
      <c r="AG51" s="286">
        <v>400</v>
      </c>
      <c r="AH51" s="286">
        <f>AG51/400*600</f>
        <v>600</v>
      </c>
    </row>
    <row r="52" spans="1:34" x14ac:dyDescent="0.25">
      <c r="A52" s="235">
        <f t="shared" si="50"/>
        <v>3000</v>
      </c>
      <c r="B52" s="235">
        <f t="shared" si="51"/>
        <v>1000</v>
      </c>
      <c r="C52" s="312">
        <v>14900</v>
      </c>
      <c r="D52" s="312">
        <v>309</v>
      </c>
      <c r="E52" s="311">
        <f t="shared" si="52"/>
        <v>173.59223300970874</v>
      </c>
      <c r="F52" s="310">
        <f t="shared" si="53"/>
        <v>173.36223300970875</v>
      </c>
      <c r="G52" s="240">
        <v>60</v>
      </c>
      <c r="H52" s="240">
        <v>523</v>
      </c>
      <c r="I52" s="239">
        <f t="shared" si="54"/>
        <v>528.57113529137314</v>
      </c>
      <c r="J52" s="240">
        <v>60</v>
      </c>
      <c r="K52" s="240">
        <v>520</v>
      </c>
      <c r="L52" s="239">
        <f t="shared" si="55"/>
        <v>525.5391784923786</v>
      </c>
      <c r="M52" s="240">
        <v>60</v>
      </c>
      <c r="N52" s="240">
        <v>523</v>
      </c>
      <c r="O52" s="239">
        <f t="shared" si="56"/>
        <v>528.57113529137314</v>
      </c>
      <c r="P52" s="309">
        <f t="shared" si="57"/>
        <v>527.56048302504166</v>
      </c>
      <c r="Q52" s="237">
        <f t="shared" si="58"/>
        <v>126.61451592601</v>
      </c>
      <c r="R52" s="308">
        <f t="shared" si="59"/>
        <v>0.72937892283999051</v>
      </c>
      <c r="S52" s="293"/>
      <c r="T52" s="307">
        <f>P52/$P$48</f>
        <v>0.81055900621118027</v>
      </c>
      <c r="U52" s="306"/>
      <c r="V52" s="291"/>
      <c r="W52" s="291"/>
    </row>
    <row r="53" spans="1:34" x14ac:dyDescent="0.25">
      <c r="A53" s="291"/>
      <c r="B53" s="235"/>
      <c r="C53" s="293"/>
      <c r="D53" s="293"/>
      <c r="E53" s="314"/>
      <c r="F53" s="301"/>
      <c r="G53" s="293"/>
      <c r="H53" s="291"/>
      <c r="I53" s="313"/>
      <c r="J53" s="313"/>
      <c r="K53" s="313"/>
      <c r="L53" s="313"/>
      <c r="M53" s="313"/>
      <c r="N53" s="313"/>
      <c r="O53" s="313"/>
      <c r="P53" s="313"/>
      <c r="Q53" s="245"/>
      <c r="R53" s="293"/>
      <c r="S53" s="293"/>
      <c r="T53" s="307"/>
      <c r="U53" s="306"/>
      <c r="V53" s="291"/>
      <c r="W53" s="291"/>
    </row>
    <row r="54" spans="1:34" x14ac:dyDescent="0.25">
      <c r="A54" s="235">
        <f t="shared" ref="A54:A59" si="60">AA4</f>
        <v>0</v>
      </c>
      <c r="B54" s="244">
        <f>Z10</f>
        <v>1100</v>
      </c>
      <c r="C54" s="312">
        <v>2300</v>
      </c>
      <c r="D54" s="312">
        <v>330</v>
      </c>
      <c r="E54" s="311">
        <f t="shared" ref="E54:E59" si="61">C54/1000*3600/D54</f>
        <v>25.09090909090909</v>
      </c>
      <c r="F54" s="310">
        <f t="shared" ref="F54:F59" si="62">E54-$Q$7</f>
        <v>24.86090909090909</v>
      </c>
      <c r="G54" s="240">
        <v>60</v>
      </c>
      <c r="H54" s="240">
        <v>732</v>
      </c>
      <c r="I54" s="239">
        <f t="shared" ref="I54:I59" si="63">IF(AND(G54&gt;0,H54&gt;0), H54/(G54/60)*sg_corr_factor, 0)</f>
        <v>739.79745895465612</v>
      </c>
      <c r="J54" s="240">
        <v>60</v>
      </c>
      <c r="K54" s="240">
        <v>730</v>
      </c>
      <c r="L54" s="239">
        <f t="shared" ref="L54:L59" si="64">IF(AND(J54&gt;0,K54&gt;0), K54/(J54/60)*sg_corr_factor, 0)</f>
        <v>737.77615442199306</v>
      </c>
      <c r="M54" s="240">
        <v>60</v>
      </c>
      <c r="N54" s="240">
        <v>732</v>
      </c>
      <c r="O54" s="239">
        <f t="shared" ref="O54:O59" si="65">IF(AND(M54&gt;0,N54&gt;0), N54/(M54/60)*sg_corr_factor, 0)</f>
        <v>739.79745895465612</v>
      </c>
      <c r="P54" s="309">
        <f t="shared" ref="P54:P59" si="66">AVERAGE(I54,L54,O54)</f>
        <v>739.12369077710173</v>
      </c>
      <c r="Q54" s="237">
        <f t="shared" ref="Q54:Q59" si="67">P54/100*A54/100*0.8</f>
        <v>0</v>
      </c>
      <c r="R54" s="308">
        <f t="shared" ref="R54:R59" si="68">Q54/E54</f>
        <v>0</v>
      </c>
      <c r="S54" s="293"/>
      <c r="T54" s="307"/>
      <c r="U54" s="306"/>
      <c r="V54" s="291"/>
      <c r="W54" s="291"/>
      <c r="Y54" s="288" t="s">
        <v>393</v>
      </c>
    </row>
    <row r="55" spans="1:34" x14ac:dyDescent="0.25">
      <c r="A55" s="235">
        <f t="shared" si="60"/>
        <v>100</v>
      </c>
      <c r="B55" s="244">
        <f>B54</f>
        <v>1100</v>
      </c>
      <c r="C55" s="312">
        <v>3100</v>
      </c>
      <c r="D55" s="312">
        <v>300</v>
      </c>
      <c r="E55" s="311">
        <f t="shared" si="61"/>
        <v>37.200000000000003</v>
      </c>
      <c r="F55" s="310">
        <f t="shared" si="62"/>
        <v>36.970000000000006</v>
      </c>
      <c r="G55" s="240">
        <v>60</v>
      </c>
      <c r="H55" s="240">
        <v>705</v>
      </c>
      <c r="I55" s="239">
        <f t="shared" si="63"/>
        <v>712.50984776370569</v>
      </c>
      <c r="J55" s="240">
        <v>60</v>
      </c>
      <c r="K55" s="240">
        <v>704</v>
      </c>
      <c r="L55" s="239">
        <f t="shared" si="64"/>
        <v>711.49919549737422</v>
      </c>
      <c r="M55" s="240">
        <v>60</v>
      </c>
      <c r="N55" s="240">
        <v>703</v>
      </c>
      <c r="O55" s="239">
        <f t="shared" si="65"/>
        <v>710.48854323104263</v>
      </c>
      <c r="P55" s="309">
        <f t="shared" si="66"/>
        <v>711.49919549737422</v>
      </c>
      <c r="Q55" s="237">
        <f t="shared" si="67"/>
        <v>5.6919935639789943</v>
      </c>
      <c r="R55" s="308">
        <f t="shared" si="68"/>
        <v>0.15301057967685466</v>
      </c>
      <c r="S55" s="293"/>
      <c r="T55" s="307">
        <f>P55/$P$55</f>
        <v>1</v>
      </c>
      <c r="U55" s="306"/>
      <c r="V55" s="291"/>
      <c r="W55" s="291"/>
    </row>
    <row r="56" spans="1:34" x14ac:dyDescent="0.25">
      <c r="A56" s="235">
        <f t="shared" si="60"/>
        <v>500</v>
      </c>
      <c r="B56" s="244">
        <f>B55</f>
        <v>1100</v>
      </c>
      <c r="C56" s="312">
        <v>4650</v>
      </c>
      <c r="D56" s="312">
        <v>330</v>
      </c>
      <c r="E56" s="311">
        <f t="shared" si="61"/>
        <v>50.727272727272727</v>
      </c>
      <c r="F56" s="310">
        <f t="shared" si="62"/>
        <v>50.49727272727273</v>
      </c>
      <c r="G56" s="240">
        <v>60</v>
      </c>
      <c r="H56" s="240">
        <v>687</v>
      </c>
      <c r="I56" s="239">
        <f t="shared" si="63"/>
        <v>694.31810696973866</v>
      </c>
      <c r="J56" s="240">
        <v>60</v>
      </c>
      <c r="K56" s="240">
        <v>685</v>
      </c>
      <c r="L56" s="239">
        <f t="shared" si="64"/>
        <v>692.29680243707571</v>
      </c>
      <c r="M56" s="240">
        <v>60</v>
      </c>
      <c r="N56" s="240">
        <v>687</v>
      </c>
      <c r="O56" s="239">
        <f t="shared" si="65"/>
        <v>694.31810696973866</v>
      </c>
      <c r="P56" s="309">
        <f t="shared" si="66"/>
        <v>693.64433879218439</v>
      </c>
      <c r="Q56" s="237">
        <f t="shared" si="67"/>
        <v>27.745773551687378</v>
      </c>
      <c r="R56" s="308">
        <f t="shared" si="68"/>
        <v>0.54695969367125652</v>
      </c>
      <c r="S56" s="293"/>
      <c r="T56" s="307">
        <f>P56/$P$55</f>
        <v>0.97490530303030298</v>
      </c>
      <c r="U56" s="306"/>
      <c r="V56" s="291"/>
      <c r="W56" s="291"/>
    </row>
    <row r="57" spans="1:34" x14ac:dyDescent="0.25">
      <c r="A57" s="235">
        <f t="shared" si="60"/>
        <v>1000</v>
      </c>
      <c r="B57" s="244">
        <f>B56</f>
        <v>1100</v>
      </c>
      <c r="C57" s="312">
        <v>7350</v>
      </c>
      <c r="D57" s="312">
        <v>330</v>
      </c>
      <c r="E57" s="311">
        <f t="shared" si="61"/>
        <v>80.181818181818187</v>
      </c>
      <c r="F57" s="310">
        <f t="shared" si="62"/>
        <v>79.951818181818183</v>
      </c>
      <c r="G57" s="240">
        <v>60</v>
      </c>
      <c r="H57" s="240">
        <v>665</v>
      </c>
      <c r="I57" s="239">
        <f t="shared" si="63"/>
        <v>672.08375711044573</v>
      </c>
      <c r="J57" s="240">
        <v>60</v>
      </c>
      <c r="K57" s="240">
        <v>664</v>
      </c>
      <c r="L57" s="239">
        <f t="shared" si="64"/>
        <v>671.07310484411425</v>
      </c>
      <c r="M57" s="240">
        <v>60</v>
      </c>
      <c r="N57" s="240">
        <v>668</v>
      </c>
      <c r="O57" s="239">
        <f t="shared" si="65"/>
        <v>675.11571390944027</v>
      </c>
      <c r="P57" s="309">
        <f t="shared" si="66"/>
        <v>672.75752528800012</v>
      </c>
      <c r="Q57" s="237">
        <f t="shared" si="67"/>
        <v>53.82060202304001</v>
      </c>
      <c r="R57" s="308">
        <f t="shared" si="68"/>
        <v>0.67123199801977329</v>
      </c>
      <c r="S57" s="293"/>
      <c r="T57" s="307">
        <f>P57/$P$55</f>
        <v>0.94554924242424243</v>
      </c>
      <c r="U57" s="306"/>
      <c r="V57" s="291"/>
      <c r="W57" s="291"/>
    </row>
    <row r="58" spans="1:34" x14ac:dyDescent="0.25">
      <c r="A58" s="235">
        <f t="shared" si="60"/>
        <v>2000</v>
      </c>
      <c r="B58" s="244">
        <f>B57</f>
        <v>1100</v>
      </c>
      <c r="C58" s="312">
        <v>11400</v>
      </c>
      <c r="D58" s="312">
        <v>311</v>
      </c>
      <c r="E58" s="311">
        <f t="shared" si="61"/>
        <v>131.9614147909968</v>
      </c>
      <c r="F58" s="310">
        <f t="shared" si="62"/>
        <v>131.73141479099681</v>
      </c>
      <c r="G58" s="240">
        <v>60</v>
      </c>
      <c r="H58" s="240">
        <v>617</v>
      </c>
      <c r="I58" s="239">
        <f t="shared" si="63"/>
        <v>623.57244832653384</v>
      </c>
      <c r="J58" s="240">
        <v>60</v>
      </c>
      <c r="K58" s="240">
        <v>623</v>
      </c>
      <c r="L58" s="239">
        <f t="shared" si="64"/>
        <v>629.63636192452293</v>
      </c>
      <c r="M58" s="240">
        <v>60</v>
      </c>
      <c r="N58" s="240">
        <v>621</v>
      </c>
      <c r="O58" s="239">
        <f t="shared" si="65"/>
        <v>627.61505739185986</v>
      </c>
      <c r="P58" s="309">
        <f t="shared" si="66"/>
        <v>626.94128921430558</v>
      </c>
      <c r="Q58" s="237">
        <f t="shared" si="67"/>
        <v>100.31060627428889</v>
      </c>
      <c r="R58" s="308">
        <f t="shared" si="68"/>
        <v>0.76015103682514229</v>
      </c>
      <c r="S58" s="293"/>
      <c r="T58" s="307">
        <f>P58/$P$55</f>
        <v>0.88115530303030298</v>
      </c>
      <c r="U58" s="306"/>
      <c r="V58" s="291"/>
      <c r="W58" s="291"/>
    </row>
    <row r="59" spans="1:34" x14ac:dyDescent="0.25">
      <c r="A59" s="235">
        <f t="shared" si="60"/>
        <v>3000</v>
      </c>
      <c r="B59" s="244">
        <f>B58</f>
        <v>1100</v>
      </c>
      <c r="C59" s="312">
        <v>15800</v>
      </c>
      <c r="D59" s="312">
        <v>300</v>
      </c>
      <c r="E59" s="311">
        <f t="shared" si="61"/>
        <v>189.6</v>
      </c>
      <c r="F59" s="310">
        <f t="shared" si="62"/>
        <v>189.37</v>
      </c>
      <c r="G59" s="240">
        <v>60</v>
      </c>
      <c r="H59" s="240">
        <v>575</v>
      </c>
      <c r="I59" s="239">
        <f t="shared" si="63"/>
        <v>581.12505314061104</v>
      </c>
      <c r="J59" s="240">
        <v>60</v>
      </c>
      <c r="K59" s="240">
        <v>580</v>
      </c>
      <c r="L59" s="239">
        <f t="shared" si="64"/>
        <v>586.17831447226854</v>
      </c>
      <c r="M59" s="240">
        <v>60</v>
      </c>
      <c r="N59" s="240">
        <v>580</v>
      </c>
      <c r="O59" s="239">
        <f t="shared" si="65"/>
        <v>586.17831447226854</v>
      </c>
      <c r="P59" s="309">
        <f t="shared" si="66"/>
        <v>584.49389402838267</v>
      </c>
      <c r="Q59" s="237">
        <f t="shared" si="67"/>
        <v>140.27853456681186</v>
      </c>
      <c r="R59" s="308">
        <f t="shared" si="68"/>
        <v>0.73986568864352242</v>
      </c>
      <c r="S59" s="293"/>
      <c r="T59" s="307">
        <f>P59/$P$55</f>
        <v>0.82149621212121204</v>
      </c>
      <c r="U59" s="306"/>
      <c r="V59" s="291"/>
      <c r="W59" s="291"/>
    </row>
    <row r="60" spans="1:34" x14ac:dyDescent="0.25">
      <c r="A60" s="234"/>
      <c r="B60" s="235"/>
      <c r="C60" s="293"/>
      <c r="D60" s="293"/>
      <c r="E60" s="293"/>
      <c r="F60" s="293"/>
      <c r="G60" s="293"/>
      <c r="H60" s="291"/>
      <c r="I60" s="291"/>
      <c r="J60" s="291"/>
      <c r="K60" s="291"/>
      <c r="L60" s="291"/>
      <c r="M60" s="291"/>
      <c r="N60" s="291"/>
      <c r="O60" s="291"/>
      <c r="P60" s="291"/>
      <c r="Q60" s="234"/>
      <c r="R60" s="293"/>
      <c r="S60" s="293"/>
      <c r="T60" s="307"/>
      <c r="U60" s="306"/>
      <c r="V60" s="291"/>
      <c r="W60" s="291"/>
    </row>
    <row r="61" spans="1:34" x14ac:dyDescent="0.25">
      <c r="A61" s="234"/>
      <c r="B61" s="235"/>
      <c r="C61" s="293"/>
      <c r="D61" s="293"/>
      <c r="E61" s="293"/>
      <c r="F61" s="293"/>
      <c r="G61" s="293"/>
      <c r="H61" s="291"/>
      <c r="I61" s="291"/>
      <c r="J61" s="291"/>
      <c r="K61" s="291"/>
      <c r="L61" s="291"/>
      <c r="M61" s="291"/>
      <c r="N61" s="291"/>
      <c r="O61" s="291"/>
      <c r="P61" s="291"/>
      <c r="Q61" s="234"/>
      <c r="R61" s="293"/>
      <c r="S61" s="293"/>
      <c r="T61" s="307"/>
      <c r="U61" s="306"/>
      <c r="V61" s="291"/>
      <c r="W61" s="291"/>
    </row>
    <row r="62" spans="1:34" x14ac:dyDescent="0.25">
      <c r="A62" s="234"/>
      <c r="B62" s="235"/>
      <c r="C62" s="293"/>
      <c r="D62" s="293"/>
      <c r="E62" s="293"/>
      <c r="F62" s="293"/>
      <c r="G62" s="293"/>
      <c r="H62" s="291"/>
      <c r="I62" s="291"/>
      <c r="J62" s="291"/>
      <c r="K62" s="291"/>
      <c r="L62" s="291"/>
      <c r="M62" s="291"/>
      <c r="N62" s="291"/>
      <c r="O62" s="291"/>
      <c r="P62" s="291"/>
      <c r="Q62" s="234"/>
      <c r="R62" s="293"/>
      <c r="S62" s="293"/>
      <c r="T62" s="307"/>
      <c r="U62" s="306"/>
      <c r="V62" s="291"/>
      <c r="W62" s="291"/>
    </row>
    <row r="64" spans="1:34" x14ac:dyDescent="0.25">
      <c r="E64" s="305">
        <f>E59/746</f>
        <v>0.25415549597855225</v>
      </c>
      <c r="F64" s="286" t="s">
        <v>396</v>
      </c>
      <c r="I64" s="286" t="s">
        <v>397</v>
      </c>
      <c r="K64" s="304"/>
      <c r="S64" s="219" t="s">
        <v>18</v>
      </c>
      <c r="U64" s="286" t="s">
        <v>345</v>
      </c>
    </row>
    <row r="65" spans="1:26" x14ac:dyDescent="0.25">
      <c r="E65" s="303">
        <f>E59/[2]COMET2_DH300!F51</f>
        <v>1.3013933694831492</v>
      </c>
      <c r="F65" s="286" t="s">
        <v>398</v>
      </c>
      <c r="R65" s="221" t="s">
        <v>205</v>
      </c>
      <c r="S65" s="220">
        <f>B12</f>
        <v>100</v>
      </c>
      <c r="T65" s="219">
        <f>B19</f>
        <v>200</v>
      </c>
      <c r="U65" s="219">
        <f>B26</f>
        <v>400</v>
      </c>
      <c r="V65" s="219">
        <v>600</v>
      </c>
      <c r="W65" s="219">
        <f>B40</f>
        <v>800</v>
      </c>
      <c r="X65" s="219">
        <f>B47</f>
        <v>1000</v>
      </c>
      <c r="Y65" s="219">
        <f>B54</f>
        <v>1100</v>
      </c>
    </row>
    <row r="66" spans="1:26" x14ac:dyDescent="0.25">
      <c r="I66" s="286">
        <v>1.026</v>
      </c>
      <c r="R66" s="215">
        <f t="shared" ref="R66:R71" si="69">AA4</f>
        <v>0</v>
      </c>
      <c r="S66" s="301">
        <f t="shared" ref="S66:S71" si="70">W12</f>
        <v>0</v>
      </c>
      <c r="T66" s="300">
        <f t="shared" ref="T66:T71" si="71">W19</f>
        <v>0</v>
      </c>
      <c r="U66" s="300">
        <f t="shared" ref="U66:U71" si="72">P26</f>
        <v>270</v>
      </c>
      <c r="V66" s="300">
        <f t="shared" ref="V66:V71" si="73">P33</f>
        <v>402.91337017749032</v>
      </c>
      <c r="W66" s="300">
        <f t="shared" ref="W66:W71" si="74">P40</f>
        <v>548.11041244044884</v>
      </c>
      <c r="X66" s="300">
        <f t="shared" ref="X66:X71" si="75">P47</f>
        <v>682.864047951315</v>
      </c>
      <c r="Y66" s="300">
        <f t="shared" ref="Y66:Y71" si="76">P54</f>
        <v>739.12369077710173</v>
      </c>
    </row>
    <row r="67" spans="1:26" x14ac:dyDescent="0.25">
      <c r="I67" s="286">
        <v>1.024</v>
      </c>
      <c r="R67" s="215">
        <f t="shared" si="69"/>
        <v>100</v>
      </c>
      <c r="S67" s="301">
        <f t="shared" si="70"/>
        <v>0</v>
      </c>
      <c r="T67" s="300">
        <f t="shared" si="71"/>
        <v>0</v>
      </c>
      <c r="U67" s="300">
        <f t="shared" si="72"/>
        <v>261</v>
      </c>
      <c r="V67" s="300">
        <f t="shared" si="73"/>
        <v>392.80684751417539</v>
      </c>
      <c r="W67" s="300">
        <f t="shared" si="74"/>
        <v>527.89736711381886</v>
      </c>
      <c r="X67" s="300">
        <f t="shared" si="75"/>
        <v>650.86005951748427</v>
      </c>
      <c r="Y67" s="300">
        <f t="shared" si="76"/>
        <v>711.49919549737422</v>
      </c>
    </row>
    <row r="68" spans="1:26" x14ac:dyDescent="0.25">
      <c r="H68" s="286" t="s">
        <v>399</v>
      </c>
      <c r="I68" s="286">
        <f>PI()*(I66/2)*(I67/2)</f>
        <v>0.82515816002128073</v>
      </c>
      <c r="J68" s="286" t="s">
        <v>400</v>
      </c>
      <c r="K68" s="286" t="s">
        <v>401</v>
      </c>
      <c r="R68" s="215">
        <f t="shared" si="69"/>
        <v>500</v>
      </c>
      <c r="S68" s="301">
        <f t="shared" si="70"/>
        <v>0</v>
      </c>
      <c r="T68" s="300">
        <f t="shared" si="71"/>
        <v>0</v>
      </c>
      <c r="U68" s="300">
        <f t="shared" si="72"/>
        <v>250</v>
      </c>
      <c r="V68" s="300">
        <f t="shared" si="73"/>
        <v>380.00525214064299</v>
      </c>
      <c r="W68" s="300">
        <f t="shared" si="74"/>
        <v>509.03185814229755</v>
      </c>
      <c r="X68" s="300">
        <f t="shared" si="75"/>
        <v>630.31013010207732</v>
      </c>
      <c r="Y68" s="300">
        <f t="shared" si="76"/>
        <v>693.64433879218439</v>
      </c>
    </row>
    <row r="69" spans="1:26" x14ac:dyDescent="0.25">
      <c r="H69" s="286" t="s">
        <v>402</v>
      </c>
      <c r="I69" s="286">
        <v>0.81646099999999999</v>
      </c>
      <c r="J69" s="286" t="s">
        <v>400</v>
      </c>
      <c r="K69" s="286" t="s">
        <v>403</v>
      </c>
      <c r="R69" s="215">
        <f t="shared" si="69"/>
        <v>1000</v>
      </c>
      <c r="S69" s="301">
        <f t="shared" si="70"/>
        <v>0</v>
      </c>
      <c r="T69" s="300">
        <f t="shared" si="71"/>
        <v>0</v>
      </c>
      <c r="U69" s="300">
        <f t="shared" si="72"/>
        <v>242</v>
      </c>
      <c r="V69" s="300">
        <f t="shared" si="73"/>
        <v>365.5192363232249</v>
      </c>
      <c r="W69" s="300">
        <f t="shared" si="74"/>
        <v>485.1130878391188</v>
      </c>
      <c r="X69" s="300">
        <f t="shared" si="75"/>
        <v>609.08643250911575</v>
      </c>
      <c r="Y69" s="300">
        <f t="shared" si="76"/>
        <v>672.75752528800012</v>
      </c>
    </row>
    <row r="70" spans="1:26" x14ac:dyDescent="0.25">
      <c r="H70" s="286" t="s">
        <v>404</v>
      </c>
      <c r="I70" s="302">
        <f>((I68-I69)/I69)+1</f>
        <v>1.0106522663314974</v>
      </c>
      <c r="K70" s="286" t="s">
        <v>405</v>
      </c>
      <c r="R70" s="215">
        <f t="shared" si="69"/>
        <v>2000</v>
      </c>
      <c r="S70" s="301">
        <f t="shared" si="70"/>
        <v>0</v>
      </c>
      <c r="T70" s="300">
        <f t="shared" si="71"/>
        <v>0</v>
      </c>
      <c r="U70" s="300">
        <f t="shared" si="72"/>
        <v>227</v>
      </c>
      <c r="V70" s="300">
        <f t="shared" si="73"/>
        <v>342.94800237515477</v>
      </c>
      <c r="W70" s="300">
        <f t="shared" si="74"/>
        <v>455.13040393795103</v>
      </c>
      <c r="X70" s="300">
        <f t="shared" si="75"/>
        <v>563.60708052419841</v>
      </c>
      <c r="Y70" s="300">
        <f t="shared" si="76"/>
        <v>626.94128921430558</v>
      </c>
    </row>
    <row r="71" spans="1:26" x14ac:dyDescent="0.25">
      <c r="R71" s="215">
        <f t="shared" si="69"/>
        <v>3000</v>
      </c>
      <c r="S71" s="301">
        <f t="shared" si="70"/>
        <v>0</v>
      </c>
      <c r="T71" s="300">
        <f t="shared" si="71"/>
        <v>0</v>
      </c>
      <c r="U71" s="300">
        <f t="shared" si="72"/>
        <v>212</v>
      </c>
      <c r="V71" s="300">
        <f t="shared" si="73"/>
        <v>323.07184113730199</v>
      </c>
      <c r="W71" s="300">
        <f t="shared" si="74"/>
        <v>420.76822688268004</v>
      </c>
      <c r="X71" s="300">
        <f t="shared" si="75"/>
        <v>527.56048302504166</v>
      </c>
      <c r="Y71" s="300">
        <f t="shared" si="76"/>
        <v>584.49389402838267</v>
      </c>
    </row>
    <row r="72" spans="1:26" x14ac:dyDescent="0.25">
      <c r="R72" s="225"/>
    </row>
    <row r="73" spans="1:26" x14ac:dyDescent="0.25">
      <c r="R73" s="286">
        <f>B81</f>
        <v>40</v>
      </c>
      <c r="S73" s="286">
        <f t="shared" ref="S73:Y73" si="77">_xlfn.FORECAST.LINEAR($B$81,S66:S71,$R$66:$R$71)</f>
        <v>0</v>
      </c>
      <c r="T73" s="286">
        <f t="shared" si="77"/>
        <v>0</v>
      </c>
      <c r="U73" s="286">
        <f t="shared" si="77"/>
        <v>262.61038095238092</v>
      </c>
      <c r="V73" s="286">
        <f t="shared" si="77"/>
        <v>394.84335995713172</v>
      </c>
      <c r="W73" s="286">
        <f t="shared" si="77"/>
        <v>532.75321436945296</v>
      </c>
      <c r="X73" s="286">
        <f t="shared" si="77"/>
        <v>660.91235988460562</v>
      </c>
      <c r="Y73" s="286">
        <f t="shared" si="77"/>
        <v>721.86781398175776</v>
      </c>
      <c r="Z73" s="286" t="s">
        <v>28</v>
      </c>
    </row>
    <row r="74" spans="1:26" x14ac:dyDescent="0.25">
      <c r="Q74" s="286" t="s">
        <v>28</v>
      </c>
      <c r="R74" s="292">
        <f>B80</f>
        <v>100</v>
      </c>
      <c r="S74" s="299">
        <f>_xlfn.FORECAST.LINEAR(R74,S65:Y65,S73:Y73)</f>
        <v>251.00976038419404</v>
      </c>
      <c r="T74" s="287" t="s">
        <v>18</v>
      </c>
    </row>
    <row r="78" spans="1:26" x14ac:dyDescent="0.25">
      <c r="A78" s="223" t="s">
        <v>346</v>
      </c>
      <c r="B78" s="288">
        <v>1670</v>
      </c>
      <c r="C78" s="286" t="s">
        <v>28</v>
      </c>
    </row>
    <row r="79" spans="1:26" x14ac:dyDescent="0.25">
      <c r="B79" s="288">
        <v>1000</v>
      </c>
      <c r="C79" s="286" t="s">
        <v>18</v>
      </c>
    </row>
    <row r="80" spans="1:26" x14ac:dyDescent="0.25">
      <c r="A80" s="286" t="s">
        <v>349</v>
      </c>
      <c r="B80" s="298">
        <f>Q</f>
        <v>100</v>
      </c>
      <c r="C80" s="286" t="s">
        <v>28</v>
      </c>
    </row>
    <row r="81" spans="1:23" x14ac:dyDescent="0.25">
      <c r="A81" s="286" t="s">
        <v>350</v>
      </c>
      <c r="B81" s="298">
        <f>Pavg</f>
        <v>40</v>
      </c>
      <c r="C81" s="286">
        <v>1000</v>
      </c>
      <c r="D81" s="286" t="s">
        <v>351</v>
      </c>
    </row>
    <row r="82" spans="1:23" x14ac:dyDescent="0.25">
      <c r="A82" s="286" t="s">
        <v>352</v>
      </c>
      <c r="B82" s="288">
        <v>0</v>
      </c>
      <c r="C82" s="286" t="s">
        <v>353</v>
      </c>
      <c r="E82" s="286" t="s">
        <v>354</v>
      </c>
    </row>
    <row r="83" spans="1:23" x14ac:dyDescent="0.25">
      <c r="A83" s="286" t="s">
        <v>355</v>
      </c>
      <c r="B83" s="288">
        <f>S74</f>
        <v>251.00976038419404</v>
      </c>
      <c r="T83" s="297">
        <v>100</v>
      </c>
      <c r="U83" s="294"/>
      <c r="V83" s="286">
        <v>200</v>
      </c>
    </row>
    <row r="84" spans="1:23" x14ac:dyDescent="0.25">
      <c r="A84" s="286" t="s">
        <v>356</v>
      </c>
      <c r="B84" s="288">
        <f>(1+(B81/C81*B82))*B83</f>
        <v>251.00976038419404</v>
      </c>
      <c r="T84" s="287" t="s">
        <v>347</v>
      </c>
      <c r="U84" s="286" t="s">
        <v>348</v>
      </c>
      <c r="V84" s="286" t="s">
        <v>347</v>
      </c>
      <c r="W84" s="286" t="s">
        <v>348</v>
      </c>
    </row>
    <row r="85" spans="1:23" x14ac:dyDescent="0.25">
      <c r="A85" s="286" t="s">
        <v>357</v>
      </c>
      <c r="T85" s="294">
        <f t="shared" ref="T85:T90" si="78">C88</f>
        <v>2.17</v>
      </c>
      <c r="U85" s="296">
        <f t="shared" ref="U85:U90" si="79">S66</f>
        <v>0</v>
      </c>
      <c r="V85" s="286">
        <f t="shared" ref="V85:V90" si="80">D88</f>
        <v>3.37</v>
      </c>
      <c r="W85" s="295">
        <f t="shared" ref="W85:W90" si="81">T66</f>
        <v>0</v>
      </c>
    </row>
    <row r="86" spans="1:23" x14ac:dyDescent="0.25">
      <c r="A86" s="221" t="s">
        <v>205</v>
      </c>
      <c r="E86" s="286" t="s">
        <v>358</v>
      </c>
      <c r="H86" s="286" t="s">
        <v>359</v>
      </c>
      <c r="T86" s="294">
        <f t="shared" si="78"/>
        <v>3</v>
      </c>
      <c r="U86" s="296">
        <f t="shared" si="79"/>
        <v>0</v>
      </c>
      <c r="V86" s="286">
        <f t="shared" si="80"/>
        <v>5.4</v>
      </c>
      <c r="W86" s="295">
        <f t="shared" si="81"/>
        <v>0</v>
      </c>
    </row>
    <row r="87" spans="1:23" x14ac:dyDescent="0.25">
      <c r="A87" s="219" t="s">
        <v>18</v>
      </c>
      <c r="B87" s="288">
        <v>0.1</v>
      </c>
      <c r="C87" s="220">
        <f>B12</f>
        <v>100</v>
      </c>
      <c r="D87" s="219">
        <f>B19</f>
        <v>200</v>
      </c>
      <c r="E87" s="219">
        <f>B26</f>
        <v>400</v>
      </c>
      <c r="F87" s="219">
        <f>B33</f>
        <v>600</v>
      </c>
      <c r="G87" s="219">
        <f>B40</f>
        <v>800</v>
      </c>
      <c r="H87" s="219">
        <f>B47</f>
        <v>1000</v>
      </c>
      <c r="I87" s="219">
        <f>B54</f>
        <v>1100</v>
      </c>
      <c r="J87" s="286">
        <f t="shared" ref="J87:J93" si="82">H87*10</f>
        <v>10000</v>
      </c>
      <c r="L87" s="219"/>
      <c r="M87" s="219"/>
      <c r="N87" s="219"/>
      <c r="O87" s="219"/>
      <c r="T87" s="294">
        <f t="shared" si="78"/>
        <v>5.4</v>
      </c>
      <c r="U87" s="296">
        <f t="shared" si="79"/>
        <v>0</v>
      </c>
      <c r="V87" s="286">
        <f t="shared" si="80"/>
        <v>10.199999999999999</v>
      </c>
      <c r="W87" s="295">
        <f t="shared" si="81"/>
        <v>0</v>
      </c>
    </row>
    <row r="88" spans="1:23" x14ac:dyDescent="0.25">
      <c r="A88" s="215">
        <f>AA4</f>
        <v>0</v>
      </c>
      <c r="B88" s="288">
        <f t="shared" ref="B88:B93" si="83">$Q$7</f>
        <v>0.22999999999999998</v>
      </c>
      <c r="C88" s="293">
        <f>F12</f>
        <v>2.17</v>
      </c>
      <c r="D88" s="291">
        <f>F19</f>
        <v>3.37</v>
      </c>
      <c r="E88" s="291">
        <f t="shared" ref="E88:E93" si="84">F26</f>
        <v>77.77</v>
      </c>
      <c r="F88" s="291">
        <f t="shared" ref="F88:F93" si="85">F33</f>
        <v>12.97</v>
      </c>
      <c r="G88" s="291">
        <f t="shared" ref="G88:G93" si="86">F40</f>
        <v>18.231538461538459</v>
      </c>
      <c r="H88" s="291">
        <f t="shared" ref="H88:H93" si="87">F47</f>
        <v>19.511935483870968</v>
      </c>
      <c r="I88" s="291">
        <f t="shared" ref="I88:I93" si="88">F54</f>
        <v>24.86090909090909</v>
      </c>
      <c r="J88" s="286">
        <f t="shared" si="82"/>
        <v>195.11935483870968</v>
      </c>
      <c r="K88" s="292">
        <f t="shared" ref="K88:K93" ca="1" si="89">_xlfn.FORECAST.LINEAR(__RPM1,OFFSET(B88:H88,0,MATCH(__RPM1,$B$87:$H$87,1)-1,1,2),OFFSET($B$87:$H$87,0,MATCH(__RPM1,$B$87:$H$87,1)-1,1,2))</f>
        <v>22.345630862920174</v>
      </c>
      <c r="L88" s="291"/>
      <c r="M88" s="291"/>
      <c r="N88" s="291"/>
      <c r="O88" s="291"/>
      <c r="T88" s="294">
        <f t="shared" si="78"/>
        <v>9.6</v>
      </c>
      <c r="U88" s="296">
        <f t="shared" si="79"/>
        <v>0</v>
      </c>
      <c r="V88" s="286">
        <f t="shared" si="80"/>
        <v>17.5</v>
      </c>
      <c r="W88" s="295">
        <f t="shared" si="81"/>
        <v>0</v>
      </c>
    </row>
    <row r="89" spans="1:23" x14ac:dyDescent="0.25">
      <c r="A89" s="215">
        <f>AA5</f>
        <v>100</v>
      </c>
      <c r="B89" s="288">
        <f t="shared" si="83"/>
        <v>0.22999999999999998</v>
      </c>
      <c r="C89" s="293">
        <f>E13</f>
        <v>3</v>
      </c>
      <c r="D89" s="291">
        <f>E20</f>
        <v>5.4</v>
      </c>
      <c r="E89" s="291">
        <f t="shared" si="84"/>
        <v>11.77</v>
      </c>
      <c r="F89" s="291">
        <f t="shared" si="85"/>
        <v>18.350645161290323</v>
      </c>
      <c r="G89" s="291">
        <f t="shared" si="86"/>
        <v>22.846923076923076</v>
      </c>
      <c r="H89" s="291">
        <f t="shared" si="87"/>
        <v>30.315454545454546</v>
      </c>
      <c r="I89" s="291">
        <f t="shared" si="88"/>
        <v>36.970000000000006</v>
      </c>
      <c r="J89" s="286">
        <f t="shared" si="82"/>
        <v>303.15454545454548</v>
      </c>
      <c r="K89" s="292">
        <f t="shared" ca="1" si="89"/>
        <v>7.0246608682365803</v>
      </c>
      <c r="L89" s="291"/>
      <c r="M89" s="291"/>
      <c r="N89" s="291"/>
      <c r="O89" s="291"/>
      <c r="T89" s="294">
        <f t="shared" si="78"/>
        <v>19.2</v>
      </c>
      <c r="U89" s="296">
        <f t="shared" si="79"/>
        <v>0</v>
      </c>
      <c r="V89" s="286">
        <f t="shared" si="80"/>
        <v>36</v>
      </c>
      <c r="W89" s="295">
        <f t="shared" si="81"/>
        <v>0</v>
      </c>
    </row>
    <row r="90" spans="1:23" x14ac:dyDescent="0.25">
      <c r="A90" s="215">
        <f>AA6</f>
        <v>500</v>
      </c>
      <c r="B90" s="288">
        <f t="shared" si="83"/>
        <v>0.22999999999999998</v>
      </c>
      <c r="C90" s="293">
        <f>E14</f>
        <v>5.4</v>
      </c>
      <c r="D90" s="291">
        <f>E21</f>
        <v>10.199999999999999</v>
      </c>
      <c r="E90" s="291">
        <f t="shared" si="84"/>
        <v>19.57</v>
      </c>
      <c r="F90" s="291">
        <f t="shared" si="85"/>
        <v>29.77</v>
      </c>
      <c r="G90" s="291">
        <f t="shared" si="86"/>
        <v>36.931290322580651</v>
      </c>
      <c r="H90" s="291">
        <f t="shared" si="87"/>
        <v>50.77</v>
      </c>
      <c r="I90" s="291">
        <f t="shared" si="88"/>
        <v>50.49727272727273</v>
      </c>
      <c r="J90" s="286">
        <f t="shared" si="82"/>
        <v>507.70000000000005</v>
      </c>
      <c r="K90" s="292">
        <f t="shared" ca="1" si="89"/>
        <v>12.58980727399949</v>
      </c>
      <c r="L90" s="291"/>
      <c r="M90" s="291"/>
      <c r="N90" s="291"/>
      <c r="O90" s="291"/>
      <c r="T90" s="294">
        <f t="shared" si="78"/>
        <v>38.4</v>
      </c>
      <c r="U90" s="296">
        <f t="shared" si="79"/>
        <v>0</v>
      </c>
      <c r="V90" s="286">
        <f t="shared" si="80"/>
        <v>58.8</v>
      </c>
      <c r="W90" s="295">
        <f t="shared" si="81"/>
        <v>0</v>
      </c>
    </row>
    <row r="91" spans="1:23" x14ac:dyDescent="0.25">
      <c r="A91" s="215">
        <f>AA7</f>
        <v>1000</v>
      </c>
      <c r="B91" s="288">
        <f t="shared" si="83"/>
        <v>0.22999999999999998</v>
      </c>
      <c r="C91" s="293">
        <f>E15</f>
        <v>9.6</v>
      </c>
      <c r="D91" s="291">
        <f>E22</f>
        <v>17.5</v>
      </c>
      <c r="E91" s="291">
        <f t="shared" si="84"/>
        <v>32.17</v>
      </c>
      <c r="F91" s="291">
        <f t="shared" si="85"/>
        <v>42.832200956937804</v>
      </c>
      <c r="G91" s="291">
        <f t="shared" si="86"/>
        <v>55.912857142857149</v>
      </c>
      <c r="H91" s="291">
        <f t="shared" si="87"/>
        <v>75.253870967741932</v>
      </c>
      <c r="I91" s="291">
        <f t="shared" si="88"/>
        <v>79.951818181818183</v>
      </c>
      <c r="J91" s="286">
        <f t="shared" si="82"/>
        <v>752.53870967741932</v>
      </c>
      <c r="K91" s="292">
        <f t="shared" ca="1" si="89"/>
        <v>21.241565924180634</v>
      </c>
      <c r="L91" s="291"/>
      <c r="M91" s="291"/>
      <c r="N91" s="291"/>
      <c r="O91" s="291"/>
      <c r="T91" s="294"/>
      <c r="U91" s="294"/>
    </row>
    <row r="92" spans="1:23" x14ac:dyDescent="0.25">
      <c r="A92" s="215">
        <f>AA8</f>
        <v>2000</v>
      </c>
      <c r="B92" s="288">
        <f t="shared" si="83"/>
        <v>0.22999999999999998</v>
      </c>
      <c r="C92" s="293">
        <f>E16</f>
        <v>19.2</v>
      </c>
      <c r="D92" s="291">
        <f>E23</f>
        <v>36</v>
      </c>
      <c r="E92" s="291">
        <f t="shared" si="84"/>
        <v>54.350645161290323</v>
      </c>
      <c r="F92" s="291">
        <f t="shared" si="85"/>
        <v>77.77</v>
      </c>
      <c r="G92" s="291">
        <f t="shared" si="86"/>
        <v>98.479677419354829</v>
      </c>
      <c r="H92" s="291">
        <f t="shared" si="87"/>
        <v>131.77000000000001</v>
      </c>
      <c r="I92" s="291">
        <f t="shared" si="88"/>
        <v>131.73141479099681</v>
      </c>
      <c r="J92" s="286">
        <f t="shared" si="82"/>
        <v>1317.7</v>
      </c>
      <c r="K92" s="292">
        <f t="shared" ca="1" si="89"/>
        <v>40.680310062863938</v>
      </c>
      <c r="L92" s="291"/>
      <c r="M92" s="291"/>
      <c r="N92" s="291"/>
      <c r="O92" s="291"/>
    </row>
    <row r="93" spans="1:23" x14ac:dyDescent="0.25">
      <c r="A93" s="215">
        <f>AA9+0.1</f>
        <v>3000.1</v>
      </c>
      <c r="B93" s="288">
        <f t="shared" si="83"/>
        <v>0.22999999999999998</v>
      </c>
      <c r="C93" s="293">
        <f>E17</f>
        <v>38.4</v>
      </c>
      <c r="D93" s="291">
        <f>E24</f>
        <v>58.8</v>
      </c>
      <c r="E93" s="291">
        <f t="shared" si="84"/>
        <v>84.97</v>
      </c>
      <c r="F93" s="291">
        <f t="shared" si="85"/>
        <v>118.80225806451612</v>
      </c>
      <c r="G93" s="291">
        <f t="shared" si="86"/>
        <v>136.13363636363638</v>
      </c>
      <c r="H93" s="291">
        <f t="shared" si="87"/>
        <v>173.36223300970875</v>
      </c>
      <c r="I93" s="291">
        <f t="shared" si="88"/>
        <v>189.37</v>
      </c>
      <c r="J93" s="286">
        <f t="shared" si="82"/>
        <v>1733.6223300970873</v>
      </c>
      <c r="K93" s="292">
        <f t="shared" ca="1" si="89"/>
        <v>65.474627146271786</v>
      </c>
      <c r="L93" s="291"/>
      <c r="M93" s="291"/>
      <c r="N93" s="291"/>
      <c r="O93" s="291"/>
    </row>
    <row r="96" spans="1:23" x14ac:dyDescent="0.25">
      <c r="A96" s="286" t="s">
        <v>360</v>
      </c>
      <c r="B96" s="290">
        <f>B84</f>
        <v>251.00976038419404</v>
      </c>
      <c r="C96" s="286" t="s">
        <v>18</v>
      </c>
    </row>
    <row r="97" spans="1:3" x14ac:dyDescent="0.25">
      <c r="A97" s="286" t="s">
        <v>361</v>
      </c>
      <c r="B97" s="290">
        <f>B81</f>
        <v>40</v>
      </c>
      <c r="C97" s="286" t="s">
        <v>97</v>
      </c>
    </row>
    <row r="98" spans="1:3" x14ac:dyDescent="0.25">
      <c r="A98" s="286" t="s">
        <v>362</v>
      </c>
      <c r="B98" s="289">
        <f ca="1">_xlfn.FORECAST.LINEAR(Press1,OFFSET(K88:K93,MATCH(Press1,A88:A93,1)-1,0,2),OFFSET(A88:A93,MATCH(Press1,A88:A93,1)-1,0,2))</f>
        <v>16.217242865046735</v>
      </c>
      <c r="C98" s="286" t="s">
        <v>19</v>
      </c>
    </row>
  </sheetData>
  <mergeCells count="7">
    <mergeCell ref="A2:S2"/>
    <mergeCell ref="G9:O9"/>
    <mergeCell ref="G10:I10"/>
    <mergeCell ref="J10:L10"/>
    <mergeCell ref="M10:O10"/>
    <mergeCell ref="C9:E9"/>
    <mergeCell ref="S9:U9"/>
  </mergeCells>
  <pageMargins left="0.70866141732283472" right="0.70866141732283472" top="0.74803149606299213" bottom="0.74803149606299213" header="0.31496062992125984" footer="0.31496062992125984"/>
  <pageSetup scale="63" orientation="landscape" r:id="rId1"/>
  <rowBreaks count="1" manualBreakCount="1">
    <brk id="55" max="13"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AB319-4275-4EBD-82BA-7E3060255D22}">
  <sheetPr codeName="Sheet16">
    <tabColor rgb="FF92D050"/>
  </sheetPr>
  <dimension ref="A1:AH98"/>
  <sheetViews>
    <sheetView topLeftCell="A36" zoomScale="130" zoomScaleNormal="130" workbookViewId="0">
      <selection activeCell="AA10" sqref="AA10"/>
    </sheetView>
  </sheetViews>
  <sheetFormatPr defaultColWidth="9.140625" defaultRowHeight="15" x14ac:dyDescent="0.25"/>
  <cols>
    <col min="1" max="1" width="14.7109375" style="286" customWidth="1"/>
    <col min="2" max="2" width="11.28515625" style="288" customWidth="1"/>
    <col min="3" max="3" width="12.42578125" style="286" customWidth="1"/>
    <col min="4" max="4" width="19.140625" style="286" customWidth="1"/>
    <col min="5" max="5" width="13.7109375" style="286" customWidth="1"/>
    <col min="6" max="6" width="14.85546875" style="286" customWidth="1"/>
    <col min="7" max="7" width="13.140625" style="286" customWidth="1"/>
    <col min="8" max="8" width="9.140625" style="286"/>
    <col min="9" max="9" width="15.28515625" style="286" customWidth="1"/>
    <col min="10" max="15" width="9.140625" style="286"/>
    <col min="16" max="16" width="12.140625" style="286" customWidth="1"/>
    <col min="17" max="17" width="10.5703125" style="286" customWidth="1"/>
    <col min="18" max="18" width="12" style="286" customWidth="1"/>
    <col min="19" max="19" width="9.140625" style="286" customWidth="1"/>
    <col min="20" max="20" width="9.140625" style="287"/>
    <col min="21" max="24" width="9.140625" style="286"/>
    <col min="25" max="25" width="12.28515625" style="286" bestFit="1" customWidth="1"/>
    <col min="26" max="16384" width="9.140625" style="286"/>
  </cols>
  <sheetData>
    <row r="1" spans="1:34" x14ac:dyDescent="0.25">
      <c r="B1" s="293" t="s">
        <v>305</v>
      </c>
      <c r="C1" s="326">
        <v>45769</v>
      </c>
      <c r="D1" s="312" t="s">
        <v>381</v>
      </c>
      <c r="E1" s="291"/>
      <c r="F1" s="291"/>
    </row>
    <row r="2" spans="1:34" ht="25.5" customHeight="1" x14ac:dyDescent="0.35">
      <c r="A2" s="401" t="s">
        <v>382</v>
      </c>
      <c r="B2" s="401"/>
      <c r="C2" s="401"/>
      <c r="D2" s="401"/>
      <c r="E2" s="401"/>
      <c r="F2" s="401"/>
      <c r="G2" s="401"/>
      <c r="H2" s="401"/>
      <c r="I2" s="401"/>
      <c r="J2" s="401"/>
      <c r="K2" s="401"/>
      <c r="L2" s="401"/>
      <c r="M2" s="401"/>
      <c r="N2" s="401"/>
      <c r="O2" s="401"/>
      <c r="P2" s="401"/>
      <c r="Q2" s="401"/>
      <c r="R2" s="401"/>
      <c r="S2" s="401"/>
      <c r="T2" s="286"/>
    </row>
    <row r="3" spans="1:34" x14ac:dyDescent="0.25">
      <c r="A3" s="234" t="s">
        <v>311</v>
      </c>
      <c r="B3" s="235"/>
      <c r="C3" s="284" t="s">
        <v>364</v>
      </c>
      <c r="D3" s="234"/>
      <c r="E3" s="234"/>
      <c r="F3" s="234"/>
      <c r="G3" s="325"/>
      <c r="H3" s="291"/>
      <c r="P3" s="223"/>
      <c r="R3" s="223"/>
      <c r="S3" s="223"/>
      <c r="T3" s="286"/>
      <c r="Z3" s="234" t="s">
        <v>309</v>
      </c>
      <c r="AA3" s="223" t="s">
        <v>310</v>
      </c>
    </row>
    <row r="4" spans="1:34" x14ac:dyDescent="0.25">
      <c r="A4" s="235" t="s">
        <v>313</v>
      </c>
      <c r="B4" s="235"/>
      <c r="C4" s="281">
        <v>0.312</v>
      </c>
      <c r="D4" s="235"/>
      <c r="E4" s="235"/>
      <c r="F4" s="235"/>
      <c r="G4" s="274" t="s">
        <v>314</v>
      </c>
      <c r="H4" s="323" t="s">
        <v>315</v>
      </c>
      <c r="I4" s="323"/>
      <c r="J4" s="323"/>
      <c r="K4" s="323"/>
      <c r="L4" s="323"/>
      <c r="M4" s="323"/>
      <c r="N4" s="323"/>
      <c r="O4" s="323"/>
      <c r="P4" s="323"/>
      <c r="Q4" s="280" t="s">
        <v>19</v>
      </c>
      <c r="R4" s="282"/>
      <c r="S4" s="280"/>
      <c r="T4" s="324"/>
      <c r="U4" s="323"/>
      <c r="V4" s="234"/>
      <c r="Z4" s="234">
        <f>1000*0.1</f>
        <v>100</v>
      </c>
      <c r="AA4" s="274">
        <v>0</v>
      </c>
    </row>
    <row r="5" spans="1:34" x14ac:dyDescent="0.25">
      <c r="A5" s="235" t="s">
        <v>317</v>
      </c>
      <c r="B5" s="235"/>
      <c r="C5" s="281">
        <v>25.4</v>
      </c>
      <c r="D5" s="235"/>
      <c r="E5" s="235"/>
      <c r="F5" s="235"/>
      <c r="G5" s="268" t="s">
        <v>318</v>
      </c>
      <c r="H5" s="312">
        <v>73.5</v>
      </c>
      <c r="I5" s="277"/>
      <c r="J5" s="277"/>
      <c r="K5" s="277"/>
      <c r="L5" s="277"/>
      <c r="M5" s="277"/>
      <c r="N5" s="277"/>
      <c r="O5" s="277"/>
      <c r="P5" s="277"/>
      <c r="Q5" s="323">
        <f>H5/1000*25</f>
        <v>1.8374999999999999</v>
      </c>
      <c r="R5" s="279" t="s">
        <v>319</v>
      </c>
      <c r="S5" s="323"/>
      <c r="T5" s="324"/>
      <c r="U5" s="323"/>
      <c r="V5" s="234"/>
      <c r="Z5" s="234">
        <f>1000*0.2</f>
        <v>200</v>
      </c>
      <c r="AA5" s="274">
        <v>500</v>
      </c>
      <c r="AC5" s="286" t="s">
        <v>316</v>
      </c>
    </row>
    <row r="6" spans="1:34" x14ac:dyDescent="0.25">
      <c r="A6" s="235" t="s">
        <v>320</v>
      </c>
      <c r="B6" s="235"/>
      <c r="C6" s="281">
        <f>0.15-0.014</f>
        <v>0.13599999999999998</v>
      </c>
      <c r="D6" s="235"/>
      <c r="E6" s="235"/>
      <c r="F6" s="235"/>
      <c r="G6" s="274" t="s">
        <v>321</v>
      </c>
      <c r="H6" s="312">
        <v>64.3</v>
      </c>
      <c r="I6" s="277"/>
      <c r="J6" s="277"/>
      <c r="K6" s="277"/>
      <c r="L6" s="277"/>
      <c r="M6" s="277"/>
      <c r="N6" s="277"/>
      <c r="O6" s="277"/>
      <c r="P6" s="277"/>
      <c r="Q6" s="323">
        <f>H6/1000*25</f>
        <v>1.6074999999999999</v>
      </c>
      <c r="R6" s="279" t="s">
        <v>319</v>
      </c>
      <c r="S6" s="323"/>
      <c r="T6" s="324"/>
      <c r="U6" s="323"/>
      <c r="V6" s="234"/>
      <c r="Z6" s="234">
        <f>1000*0.4</f>
        <v>400</v>
      </c>
      <c r="AA6" s="274">
        <v>1000</v>
      </c>
      <c r="AC6" s="286">
        <v>250</v>
      </c>
    </row>
    <row r="7" spans="1:34" x14ac:dyDescent="0.25">
      <c r="A7" s="260" t="s">
        <v>322</v>
      </c>
      <c r="B7" s="235"/>
      <c r="C7" s="281" t="s">
        <v>395</v>
      </c>
      <c r="D7" s="235"/>
      <c r="E7" s="235"/>
      <c r="F7" s="235"/>
      <c r="H7" s="323"/>
      <c r="I7" s="323"/>
      <c r="J7" s="323"/>
      <c r="K7" s="323"/>
      <c r="L7" s="323"/>
      <c r="M7" s="323"/>
      <c r="N7" s="323"/>
      <c r="O7" s="323"/>
      <c r="P7" s="323" t="s">
        <v>324</v>
      </c>
      <c r="Q7" s="280">
        <f>Q5-Q6</f>
        <v>0.22999999999999998</v>
      </c>
      <c r="R7" s="280" t="s">
        <v>19</v>
      </c>
      <c r="S7" s="279" t="s">
        <v>325</v>
      </c>
      <c r="T7" s="324"/>
      <c r="U7" s="323"/>
      <c r="V7" s="234"/>
      <c r="Z7" s="234">
        <f>1000*0.6</f>
        <v>600</v>
      </c>
      <c r="AA7" s="274">
        <v>3000</v>
      </c>
    </row>
    <row r="8" spans="1:34" ht="15.75" thickBot="1" x14ac:dyDescent="0.3">
      <c r="A8" s="260" t="s">
        <v>326</v>
      </c>
      <c r="B8" s="235"/>
      <c r="C8" s="276" t="s">
        <v>327</v>
      </c>
      <c r="D8" s="260"/>
      <c r="E8" s="260"/>
      <c r="F8" s="260"/>
      <c r="G8" s="286" t="s">
        <v>328</v>
      </c>
      <c r="Q8" s="263"/>
      <c r="R8" s="263"/>
      <c r="S8" s="263"/>
      <c r="T8" s="322"/>
      <c r="V8" s="275"/>
      <c r="Z8" s="234">
        <f>1000*0.8</f>
        <v>800</v>
      </c>
      <c r="AA8" s="274">
        <v>4000</v>
      </c>
    </row>
    <row r="9" spans="1:34" x14ac:dyDescent="0.25">
      <c r="A9" s="234" t="s">
        <v>205</v>
      </c>
      <c r="C9" s="402" t="s">
        <v>329</v>
      </c>
      <c r="D9" s="403"/>
      <c r="E9" s="404"/>
      <c r="F9" s="234"/>
      <c r="G9" s="402" t="s">
        <v>330</v>
      </c>
      <c r="H9" s="405"/>
      <c r="I9" s="405"/>
      <c r="J9" s="405"/>
      <c r="K9" s="405"/>
      <c r="L9" s="405"/>
      <c r="M9" s="405"/>
      <c r="N9" s="405"/>
      <c r="O9" s="406"/>
      <c r="P9" s="273" t="s">
        <v>331</v>
      </c>
      <c r="Q9" s="272" t="s">
        <v>332</v>
      </c>
      <c r="R9" s="271" t="s">
        <v>333</v>
      </c>
      <c r="S9" s="407"/>
      <c r="T9" s="410"/>
      <c r="U9" s="410"/>
      <c r="V9" s="321"/>
      <c r="W9" s="320" t="s">
        <v>334</v>
      </c>
      <c r="Z9" s="234">
        <v>1000</v>
      </c>
      <c r="AA9" s="268">
        <v>5000</v>
      </c>
      <c r="AG9" s="286">
        <v>10</v>
      </c>
      <c r="AH9" s="286">
        <f>AG9/400*600</f>
        <v>15</v>
      </c>
    </row>
    <row r="10" spans="1:34" x14ac:dyDescent="0.25">
      <c r="A10" s="234"/>
      <c r="C10" s="267"/>
      <c r="D10" s="263"/>
      <c r="E10" s="263"/>
      <c r="F10" s="235"/>
      <c r="G10" s="409" t="s">
        <v>384</v>
      </c>
      <c r="H10" s="403"/>
      <c r="I10" s="404"/>
      <c r="J10" s="409" t="s">
        <v>385</v>
      </c>
      <c r="K10" s="403"/>
      <c r="L10" s="404"/>
      <c r="M10" s="409" t="s">
        <v>386</v>
      </c>
      <c r="N10" s="403"/>
      <c r="O10" s="404"/>
      <c r="P10" s="266" t="s">
        <v>387</v>
      </c>
      <c r="Q10" s="263"/>
      <c r="R10" s="223"/>
      <c r="S10" s="263"/>
      <c r="T10" s="288"/>
      <c r="U10" s="288"/>
      <c r="V10" s="319"/>
      <c r="W10" s="318"/>
      <c r="Z10" s="234">
        <v>1100</v>
      </c>
      <c r="AA10" s="223"/>
    </row>
    <row r="11" spans="1:34" ht="15.75" thickBot="1" x14ac:dyDescent="0.3">
      <c r="A11" s="235" t="s">
        <v>8</v>
      </c>
      <c r="B11" s="235" t="s">
        <v>18</v>
      </c>
      <c r="C11" s="260" t="s">
        <v>335</v>
      </c>
      <c r="D11" s="263" t="s">
        <v>365</v>
      </c>
      <c r="E11" s="262" t="s">
        <v>19</v>
      </c>
      <c r="F11" s="261" t="s">
        <v>337</v>
      </c>
      <c r="G11" s="250" t="s">
        <v>388</v>
      </c>
      <c r="H11" s="260" t="s">
        <v>339</v>
      </c>
      <c r="I11" s="260" t="s">
        <v>389</v>
      </c>
      <c r="J11" s="250" t="s">
        <v>388</v>
      </c>
      <c r="K11" s="260" t="s">
        <v>339</v>
      </c>
      <c r="L11" s="260" t="s">
        <v>389</v>
      </c>
      <c r="M11" s="250" t="s">
        <v>388</v>
      </c>
      <c r="N11" s="260" t="s">
        <v>339</v>
      </c>
      <c r="O11" s="260" t="s">
        <v>389</v>
      </c>
      <c r="P11" s="259" t="s">
        <v>340</v>
      </c>
      <c r="Q11" s="258" t="s">
        <v>19</v>
      </c>
      <c r="R11" s="257" t="s">
        <v>341</v>
      </c>
      <c r="S11" s="257"/>
      <c r="T11" s="256" t="s">
        <v>342</v>
      </c>
      <c r="U11" s="255"/>
      <c r="V11" s="317" t="s">
        <v>343</v>
      </c>
      <c r="W11" s="253" t="s">
        <v>344</v>
      </c>
      <c r="X11" s="249"/>
      <c r="Y11" s="248" t="s">
        <v>390</v>
      </c>
      <c r="AG11" s="286">
        <v>50</v>
      </c>
      <c r="AH11" s="286">
        <f>AG11/400*600</f>
        <v>75</v>
      </c>
    </row>
    <row r="12" spans="1:34" x14ac:dyDescent="0.25">
      <c r="A12" s="244">
        <f>AA4</f>
        <v>0</v>
      </c>
      <c r="B12" s="235">
        <v>100</v>
      </c>
      <c r="C12" s="312">
        <v>200</v>
      </c>
      <c r="D12" s="312">
        <v>300</v>
      </c>
      <c r="E12" s="311">
        <f t="shared" ref="E12:E17" si="0">C12/1000*3600/D12</f>
        <v>2.4</v>
      </c>
      <c r="F12" s="310">
        <f t="shared" ref="F12:F17" si="1">E12-$Q$7</f>
        <v>2.17</v>
      </c>
      <c r="G12" s="240">
        <v>60</v>
      </c>
      <c r="H12" s="240">
        <v>25</v>
      </c>
      <c r="I12" s="239">
        <f t="shared" ref="I12:I17" si="2">IF(AND(G12&gt;0,H12&gt;0), H12/(G12/60), 0)</f>
        <v>25</v>
      </c>
      <c r="J12" s="240">
        <v>60</v>
      </c>
      <c r="K12" s="240">
        <v>25</v>
      </c>
      <c r="L12" s="239">
        <f t="shared" ref="L12:L17" si="3">IF(AND(J12&gt;0,K12&gt;0), K12/(J12/60), 0)</f>
        <v>25</v>
      </c>
      <c r="M12" s="240">
        <v>60</v>
      </c>
      <c r="N12" s="240">
        <v>25</v>
      </c>
      <c r="O12" s="239">
        <f t="shared" ref="O12:O17" si="4">IF(AND(M12&gt;0,N12&gt;0), N12/(M12/60), 0)</f>
        <v>25</v>
      </c>
      <c r="P12" s="309">
        <f t="shared" ref="P12:P17" si="5">60*H12/G12</f>
        <v>25</v>
      </c>
      <c r="Q12" s="237">
        <f t="shared" ref="Q12:Q17" si="6">P12/100*A12/100*0.8</f>
        <v>0</v>
      </c>
      <c r="R12" s="308">
        <f t="shared" ref="R12:R17" si="7">Q12/E12</f>
        <v>0</v>
      </c>
      <c r="S12" s="293"/>
      <c r="T12" s="307"/>
      <c r="U12" s="306"/>
      <c r="V12" s="315">
        <f t="shared" ref="V12:V17" si="8">B12/AC$6</f>
        <v>0.4</v>
      </c>
      <c r="W12" s="291"/>
      <c r="X12" s="249"/>
      <c r="Y12" s="248" t="s">
        <v>391</v>
      </c>
      <c r="Z12" s="248"/>
    </row>
    <row r="13" spans="1:34" x14ac:dyDescent="0.25">
      <c r="A13" s="244">
        <v>500</v>
      </c>
      <c r="B13" s="235">
        <v>100</v>
      </c>
      <c r="C13" s="312">
        <v>350</v>
      </c>
      <c r="D13" s="312">
        <v>300</v>
      </c>
      <c r="E13" s="311">
        <f t="shared" si="0"/>
        <v>4.2</v>
      </c>
      <c r="F13" s="310">
        <f t="shared" si="1"/>
        <v>3.97</v>
      </c>
      <c r="G13" s="240">
        <v>60</v>
      </c>
      <c r="H13" s="240">
        <v>26</v>
      </c>
      <c r="I13" s="239">
        <f t="shared" si="2"/>
        <v>26</v>
      </c>
      <c r="J13" s="240">
        <v>60</v>
      </c>
      <c r="K13" s="240">
        <v>26</v>
      </c>
      <c r="L13" s="239">
        <f t="shared" si="3"/>
        <v>26</v>
      </c>
      <c r="M13" s="240">
        <v>60</v>
      </c>
      <c r="N13" s="240">
        <v>26</v>
      </c>
      <c r="O13" s="239">
        <f t="shared" si="4"/>
        <v>26</v>
      </c>
      <c r="P13" s="309">
        <f t="shared" si="5"/>
        <v>26</v>
      </c>
      <c r="Q13" s="237">
        <f t="shared" si="6"/>
        <v>1.04</v>
      </c>
      <c r="R13" s="308">
        <f t="shared" si="7"/>
        <v>0.24761904761904763</v>
      </c>
      <c r="S13" s="293"/>
      <c r="T13" s="307">
        <f>P13/$P$13</f>
        <v>1</v>
      </c>
      <c r="U13" s="306"/>
      <c r="V13" s="315">
        <f t="shared" si="8"/>
        <v>0.4</v>
      </c>
      <c r="W13" s="291"/>
      <c r="Y13" s="207" t="s">
        <v>392</v>
      </c>
      <c r="AG13" s="286">
        <v>100</v>
      </c>
      <c r="AH13" s="286">
        <f>AG13/400*600</f>
        <v>150</v>
      </c>
    </row>
    <row r="14" spans="1:34" x14ac:dyDescent="0.25">
      <c r="A14" s="244">
        <v>1000</v>
      </c>
      <c r="B14" s="235">
        <v>100</v>
      </c>
      <c r="C14" s="312">
        <v>550</v>
      </c>
      <c r="D14" s="312">
        <v>300</v>
      </c>
      <c r="E14" s="311">
        <f t="shared" si="0"/>
        <v>6.6000000000000005</v>
      </c>
      <c r="F14" s="310">
        <f t="shared" si="1"/>
        <v>6.370000000000001</v>
      </c>
      <c r="G14" s="240">
        <v>60</v>
      </c>
      <c r="H14" s="240">
        <v>22</v>
      </c>
      <c r="I14" s="239">
        <f t="shared" si="2"/>
        <v>22</v>
      </c>
      <c r="J14" s="240">
        <v>60</v>
      </c>
      <c r="K14" s="240">
        <v>22</v>
      </c>
      <c r="L14" s="239">
        <f t="shared" si="3"/>
        <v>22</v>
      </c>
      <c r="M14" s="240">
        <v>60</v>
      </c>
      <c r="N14" s="240">
        <v>22</v>
      </c>
      <c r="O14" s="239">
        <f t="shared" si="4"/>
        <v>22</v>
      </c>
      <c r="P14" s="309">
        <f t="shared" si="5"/>
        <v>22</v>
      </c>
      <c r="Q14" s="237">
        <f t="shared" si="6"/>
        <v>1.7600000000000002</v>
      </c>
      <c r="R14" s="308">
        <f t="shared" si="7"/>
        <v>0.26666666666666666</v>
      </c>
      <c r="S14" s="293"/>
      <c r="T14" s="307">
        <f>P14/$P$13</f>
        <v>0.84615384615384615</v>
      </c>
      <c r="U14" s="306"/>
      <c r="V14" s="315">
        <f t="shared" si="8"/>
        <v>0.4</v>
      </c>
      <c r="W14" s="291"/>
      <c r="AG14" s="286">
        <v>200</v>
      </c>
      <c r="AH14" s="286">
        <f>AG14/400*600</f>
        <v>300</v>
      </c>
    </row>
    <row r="15" spans="1:34" x14ac:dyDescent="0.25">
      <c r="A15" s="244">
        <v>3000</v>
      </c>
      <c r="B15" s="235">
        <v>100</v>
      </c>
      <c r="C15" s="312">
        <v>1800</v>
      </c>
      <c r="D15" s="312">
        <v>300</v>
      </c>
      <c r="E15" s="311">
        <f t="shared" si="0"/>
        <v>21.6</v>
      </c>
      <c r="F15" s="310">
        <f t="shared" si="1"/>
        <v>21.37</v>
      </c>
      <c r="G15" s="240">
        <v>60</v>
      </c>
      <c r="H15" s="240">
        <v>20</v>
      </c>
      <c r="I15" s="239">
        <f t="shared" si="2"/>
        <v>20</v>
      </c>
      <c r="J15" s="240">
        <v>60</v>
      </c>
      <c r="K15" s="240">
        <v>20</v>
      </c>
      <c r="L15" s="239">
        <f t="shared" si="3"/>
        <v>20</v>
      </c>
      <c r="M15" s="240">
        <v>60</v>
      </c>
      <c r="N15" s="240">
        <v>20</v>
      </c>
      <c r="O15" s="239">
        <f t="shared" si="4"/>
        <v>20</v>
      </c>
      <c r="P15" s="309">
        <f t="shared" si="5"/>
        <v>20</v>
      </c>
      <c r="Q15" s="237">
        <f t="shared" si="6"/>
        <v>4.8000000000000007</v>
      </c>
      <c r="R15" s="308">
        <f t="shared" si="7"/>
        <v>0.22222222222222224</v>
      </c>
      <c r="S15" s="293"/>
      <c r="T15" s="307">
        <f>P15/$P$13</f>
        <v>0.76923076923076927</v>
      </c>
      <c r="U15" s="306"/>
      <c r="V15" s="315">
        <f t="shared" si="8"/>
        <v>0.4</v>
      </c>
      <c r="W15" s="291"/>
      <c r="AG15" s="286">
        <v>300</v>
      </c>
      <c r="AH15" s="286">
        <f>AG15/400*600</f>
        <v>450</v>
      </c>
    </row>
    <row r="16" spans="1:34" x14ac:dyDescent="0.25">
      <c r="A16" s="244">
        <v>4000</v>
      </c>
      <c r="B16" s="235">
        <v>100</v>
      </c>
      <c r="C16" s="312">
        <v>2600</v>
      </c>
      <c r="D16" s="312">
        <v>300</v>
      </c>
      <c r="E16" s="311">
        <f t="shared" si="0"/>
        <v>31.2</v>
      </c>
      <c r="F16" s="310">
        <f t="shared" si="1"/>
        <v>30.97</v>
      </c>
      <c r="G16" s="240">
        <v>60</v>
      </c>
      <c r="H16" s="240">
        <v>18</v>
      </c>
      <c r="I16" s="239">
        <f t="shared" si="2"/>
        <v>18</v>
      </c>
      <c r="J16" s="240">
        <v>60</v>
      </c>
      <c r="K16" s="240">
        <v>18</v>
      </c>
      <c r="L16" s="239">
        <f t="shared" si="3"/>
        <v>18</v>
      </c>
      <c r="M16" s="240">
        <v>60</v>
      </c>
      <c r="N16" s="240">
        <v>18</v>
      </c>
      <c r="O16" s="239">
        <f t="shared" si="4"/>
        <v>18</v>
      </c>
      <c r="P16" s="309">
        <f t="shared" si="5"/>
        <v>18</v>
      </c>
      <c r="Q16" s="237">
        <f t="shared" si="6"/>
        <v>5.7600000000000007</v>
      </c>
      <c r="R16" s="308">
        <f t="shared" si="7"/>
        <v>0.18461538461538465</v>
      </c>
      <c r="S16" s="293"/>
      <c r="T16" s="307">
        <f>P16/$P$13</f>
        <v>0.69230769230769229</v>
      </c>
      <c r="U16" s="306"/>
      <c r="V16" s="315">
        <f t="shared" si="8"/>
        <v>0.4</v>
      </c>
      <c r="W16" s="291"/>
      <c r="AG16" s="286">
        <v>400</v>
      </c>
      <c r="AH16" s="286">
        <f>AG16/400*600</f>
        <v>600</v>
      </c>
    </row>
    <row r="17" spans="1:34" x14ac:dyDescent="0.25">
      <c r="A17" s="244">
        <v>5000</v>
      </c>
      <c r="B17" s="235">
        <v>100</v>
      </c>
      <c r="C17" s="312">
        <v>3300</v>
      </c>
      <c r="D17" s="312">
        <v>300</v>
      </c>
      <c r="E17" s="311">
        <f t="shared" si="0"/>
        <v>39.6</v>
      </c>
      <c r="F17" s="310">
        <f t="shared" si="1"/>
        <v>39.370000000000005</v>
      </c>
      <c r="G17" s="240">
        <v>60</v>
      </c>
      <c r="H17" s="240">
        <v>15</v>
      </c>
      <c r="I17" s="239">
        <f t="shared" si="2"/>
        <v>15</v>
      </c>
      <c r="J17" s="240">
        <v>60</v>
      </c>
      <c r="K17" s="240">
        <v>15</v>
      </c>
      <c r="L17" s="239">
        <f t="shared" si="3"/>
        <v>15</v>
      </c>
      <c r="M17" s="240">
        <v>60</v>
      </c>
      <c r="N17" s="240">
        <v>15</v>
      </c>
      <c r="O17" s="239">
        <f t="shared" si="4"/>
        <v>15</v>
      </c>
      <c r="P17" s="309">
        <f t="shared" si="5"/>
        <v>15</v>
      </c>
      <c r="Q17" s="237">
        <f t="shared" si="6"/>
        <v>6</v>
      </c>
      <c r="R17" s="308">
        <f t="shared" si="7"/>
        <v>0.15151515151515152</v>
      </c>
      <c r="S17" s="293"/>
      <c r="T17" s="307">
        <f>P17/$P$13</f>
        <v>0.57692307692307687</v>
      </c>
      <c r="U17" s="306"/>
      <c r="V17" s="315">
        <f t="shared" si="8"/>
        <v>0.4</v>
      </c>
      <c r="W17" s="291"/>
    </row>
    <row r="18" spans="1:34" x14ac:dyDescent="0.25">
      <c r="A18" s="244"/>
      <c r="B18" s="244"/>
      <c r="C18" s="312"/>
      <c r="D18" s="312"/>
      <c r="E18" s="311"/>
      <c r="F18" s="310"/>
      <c r="G18" s="240"/>
      <c r="H18" s="240"/>
      <c r="I18" s="250"/>
      <c r="J18" s="240"/>
      <c r="K18" s="240"/>
      <c r="L18" s="250"/>
      <c r="M18" s="240"/>
      <c r="N18" s="240"/>
      <c r="O18" s="250"/>
      <c r="P18" s="309"/>
      <c r="Q18" s="237"/>
      <c r="R18" s="293"/>
      <c r="S18" s="293"/>
      <c r="T18" s="307"/>
      <c r="U18" s="306"/>
      <c r="V18" s="316"/>
      <c r="W18" s="291"/>
    </row>
    <row r="19" spans="1:34" x14ac:dyDescent="0.25">
      <c r="A19" s="244">
        <f>AA11</f>
        <v>0</v>
      </c>
      <c r="B19" s="244">
        <v>200</v>
      </c>
      <c r="C19" s="312">
        <v>300</v>
      </c>
      <c r="D19" s="312">
        <v>300</v>
      </c>
      <c r="E19" s="311">
        <f t="shared" ref="E19:E24" si="9">C19/1000*3600/D19</f>
        <v>3.6</v>
      </c>
      <c r="F19" s="310">
        <f t="shared" ref="F19:F24" si="10">E19-$Q$7</f>
        <v>3.37</v>
      </c>
      <c r="G19" s="240">
        <v>60</v>
      </c>
      <c r="H19" s="240">
        <v>48</v>
      </c>
      <c r="I19" s="239">
        <f t="shared" ref="I19:I24" si="11">IF(AND(G19&gt;0,H19&gt;0), H19/(G19/60), 0)</f>
        <v>48</v>
      </c>
      <c r="J19" s="240">
        <v>60</v>
      </c>
      <c r="K19" s="240">
        <v>48</v>
      </c>
      <c r="L19" s="239">
        <f t="shared" ref="L19:L24" si="12">IF(AND(J19&gt;0,K19&gt;0), K19/(J19/60), 0)</f>
        <v>48</v>
      </c>
      <c r="M19" s="240">
        <v>60</v>
      </c>
      <c r="N19" s="240">
        <v>48</v>
      </c>
      <c r="O19" s="239">
        <f t="shared" ref="O19:O24" si="13">IF(AND(M19&gt;0,N19&gt;0), N19/(M19/60), 0)</f>
        <v>48</v>
      </c>
      <c r="P19" s="309">
        <f t="shared" ref="P19:P24" si="14">60*H19/G19</f>
        <v>48</v>
      </c>
      <c r="Q19" s="237">
        <f t="shared" ref="Q19:Q24" si="15">P19/100*A19/100*0.8</f>
        <v>0</v>
      </c>
      <c r="R19" s="308">
        <f t="shared" ref="R19:R24" si="16">Q19/E19</f>
        <v>0</v>
      </c>
      <c r="S19" s="293"/>
      <c r="T19" s="307"/>
      <c r="U19" s="306"/>
      <c r="V19" s="315">
        <f t="shared" ref="V19:V24" si="17">B19/AC$6</f>
        <v>0.8</v>
      </c>
      <c r="W19" s="291"/>
      <c r="X19" s="249"/>
      <c r="Y19" s="248" t="s">
        <v>391</v>
      </c>
      <c r="Z19" s="248"/>
    </row>
    <row r="20" spans="1:34" x14ac:dyDescent="0.25">
      <c r="A20" s="244">
        <v>500</v>
      </c>
      <c r="B20" s="244">
        <v>200</v>
      </c>
      <c r="C20" s="312">
        <v>500</v>
      </c>
      <c r="D20" s="312">
        <v>300</v>
      </c>
      <c r="E20" s="311">
        <f t="shared" si="9"/>
        <v>6</v>
      </c>
      <c r="F20" s="310">
        <f t="shared" si="10"/>
        <v>5.77</v>
      </c>
      <c r="G20" s="240">
        <v>60</v>
      </c>
      <c r="H20" s="240">
        <v>46</v>
      </c>
      <c r="I20" s="239">
        <f t="shared" si="11"/>
        <v>46</v>
      </c>
      <c r="J20" s="240">
        <v>60</v>
      </c>
      <c r="K20" s="240">
        <v>46</v>
      </c>
      <c r="L20" s="239">
        <f t="shared" si="12"/>
        <v>46</v>
      </c>
      <c r="M20" s="240">
        <v>60</v>
      </c>
      <c r="N20" s="240">
        <v>46</v>
      </c>
      <c r="O20" s="239">
        <f t="shared" si="13"/>
        <v>46</v>
      </c>
      <c r="P20" s="309">
        <f t="shared" si="14"/>
        <v>46</v>
      </c>
      <c r="Q20" s="237">
        <f t="shared" si="15"/>
        <v>1.8399999999999999</v>
      </c>
      <c r="R20" s="308">
        <f t="shared" si="16"/>
        <v>0.30666666666666664</v>
      </c>
      <c r="S20" s="293"/>
      <c r="T20" s="307">
        <f>P20/$P$20</f>
        <v>1</v>
      </c>
      <c r="U20" s="306"/>
      <c r="V20" s="315">
        <f t="shared" si="17"/>
        <v>0.8</v>
      </c>
      <c r="W20" s="291"/>
      <c r="Y20" s="207" t="s">
        <v>392</v>
      </c>
      <c r="AG20" s="286">
        <v>100</v>
      </c>
      <c r="AH20" s="286">
        <f>AG20/400*600</f>
        <v>150</v>
      </c>
    </row>
    <row r="21" spans="1:34" x14ac:dyDescent="0.25">
      <c r="A21" s="244">
        <v>1000</v>
      </c>
      <c r="B21" s="244">
        <v>200</v>
      </c>
      <c r="C21" s="312">
        <v>800</v>
      </c>
      <c r="D21" s="312">
        <v>300</v>
      </c>
      <c r="E21" s="311">
        <f t="shared" si="9"/>
        <v>9.6</v>
      </c>
      <c r="F21" s="310">
        <f t="shared" si="10"/>
        <v>9.3699999999999992</v>
      </c>
      <c r="G21" s="240">
        <v>60</v>
      </c>
      <c r="H21" s="240">
        <v>43</v>
      </c>
      <c r="I21" s="239">
        <f t="shared" si="11"/>
        <v>43</v>
      </c>
      <c r="J21" s="240">
        <v>60</v>
      </c>
      <c r="K21" s="240">
        <v>43</v>
      </c>
      <c r="L21" s="239">
        <f t="shared" si="12"/>
        <v>43</v>
      </c>
      <c r="M21" s="240">
        <v>60</v>
      </c>
      <c r="N21" s="240">
        <v>43</v>
      </c>
      <c r="O21" s="239">
        <f t="shared" si="13"/>
        <v>43</v>
      </c>
      <c r="P21" s="309">
        <f t="shared" si="14"/>
        <v>43</v>
      </c>
      <c r="Q21" s="237">
        <f t="shared" si="15"/>
        <v>3.44</v>
      </c>
      <c r="R21" s="308">
        <f t="shared" si="16"/>
        <v>0.35833333333333334</v>
      </c>
      <c r="S21" s="293"/>
      <c r="T21" s="307">
        <f>P21/$P$20</f>
        <v>0.93478260869565222</v>
      </c>
      <c r="U21" s="306"/>
      <c r="V21" s="315">
        <f t="shared" si="17"/>
        <v>0.8</v>
      </c>
      <c r="W21" s="291"/>
      <c r="AG21" s="286">
        <v>200</v>
      </c>
      <c r="AH21" s="286">
        <f>AG21/400*600</f>
        <v>300</v>
      </c>
    </row>
    <row r="22" spans="1:34" x14ac:dyDescent="0.25">
      <c r="A22" s="244">
        <v>3000</v>
      </c>
      <c r="B22" s="244">
        <v>200</v>
      </c>
      <c r="C22" s="312">
        <v>3200</v>
      </c>
      <c r="D22" s="312">
        <v>300</v>
      </c>
      <c r="E22" s="311">
        <f t="shared" si="9"/>
        <v>38.4</v>
      </c>
      <c r="F22" s="310">
        <f t="shared" si="10"/>
        <v>38.17</v>
      </c>
      <c r="G22" s="240">
        <v>60</v>
      </c>
      <c r="H22" s="240">
        <v>40</v>
      </c>
      <c r="I22" s="239">
        <f t="shared" si="11"/>
        <v>40</v>
      </c>
      <c r="J22" s="240">
        <v>60</v>
      </c>
      <c r="K22" s="240">
        <v>40</v>
      </c>
      <c r="L22" s="239">
        <f t="shared" si="12"/>
        <v>40</v>
      </c>
      <c r="M22" s="240">
        <v>60</v>
      </c>
      <c r="N22" s="240">
        <v>40</v>
      </c>
      <c r="O22" s="239">
        <f t="shared" si="13"/>
        <v>40</v>
      </c>
      <c r="P22" s="309">
        <f t="shared" si="14"/>
        <v>40</v>
      </c>
      <c r="Q22" s="237">
        <f t="shared" si="15"/>
        <v>9.6000000000000014</v>
      </c>
      <c r="R22" s="308">
        <f t="shared" si="16"/>
        <v>0.25000000000000006</v>
      </c>
      <c r="S22" s="293"/>
      <c r="T22" s="307">
        <f>P22/$P$20</f>
        <v>0.86956521739130432</v>
      </c>
      <c r="U22" s="306"/>
      <c r="V22" s="315">
        <f t="shared" si="17"/>
        <v>0.8</v>
      </c>
      <c r="W22" s="291"/>
      <c r="AG22" s="286">
        <v>300</v>
      </c>
      <c r="AH22" s="286">
        <f>AG22/400*600</f>
        <v>450</v>
      </c>
    </row>
    <row r="23" spans="1:34" x14ac:dyDescent="0.25">
      <c r="A23" s="244">
        <v>4000</v>
      </c>
      <c r="B23" s="244">
        <v>200</v>
      </c>
      <c r="C23" s="312">
        <v>5000</v>
      </c>
      <c r="D23" s="312">
        <v>300</v>
      </c>
      <c r="E23" s="311">
        <f t="shared" si="9"/>
        <v>60</v>
      </c>
      <c r="F23" s="310">
        <f t="shared" si="10"/>
        <v>59.77</v>
      </c>
      <c r="G23" s="240">
        <v>60</v>
      </c>
      <c r="H23" s="240">
        <v>38</v>
      </c>
      <c r="I23" s="239">
        <f t="shared" si="11"/>
        <v>38</v>
      </c>
      <c r="J23" s="240">
        <v>60</v>
      </c>
      <c r="K23" s="240">
        <v>38</v>
      </c>
      <c r="L23" s="239">
        <f t="shared" si="12"/>
        <v>38</v>
      </c>
      <c r="M23" s="240">
        <v>60</v>
      </c>
      <c r="N23" s="240">
        <v>38</v>
      </c>
      <c r="O23" s="239">
        <f t="shared" si="13"/>
        <v>38</v>
      </c>
      <c r="P23" s="309">
        <f t="shared" si="14"/>
        <v>38</v>
      </c>
      <c r="Q23" s="237">
        <f t="shared" si="15"/>
        <v>12.16</v>
      </c>
      <c r="R23" s="308">
        <f t="shared" si="16"/>
        <v>0.20266666666666666</v>
      </c>
      <c r="S23" s="293"/>
      <c r="T23" s="307">
        <f>P23/$P$20</f>
        <v>0.82608695652173914</v>
      </c>
      <c r="U23" s="306"/>
      <c r="V23" s="315">
        <f t="shared" si="17"/>
        <v>0.8</v>
      </c>
      <c r="W23" s="291"/>
      <c r="AG23" s="286">
        <v>400</v>
      </c>
      <c r="AH23" s="286">
        <f>AG23/400*600</f>
        <v>600</v>
      </c>
    </row>
    <row r="24" spans="1:34" x14ac:dyDescent="0.25">
      <c r="A24" s="244">
        <v>5000</v>
      </c>
      <c r="B24" s="244">
        <v>200</v>
      </c>
      <c r="C24" s="312">
        <v>6200</v>
      </c>
      <c r="D24" s="312">
        <v>300</v>
      </c>
      <c r="E24" s="311">
        <f t="shared" si="9"/>
        <v>74.400000000000006</v>
      </c>
      <c r="F24" s="310">
        <f t="shared" si="10"/>
        <v>74.17</v>
      </c>
      <c r="G24" s="240">
        <v>60</v>
      </c>
      <c r="H24" s="240">
        <v>35</v>
      </c>
      <c r="I24" s="239">
        <f t="shared" si="11"/>
        <v>35</v>
      </c>
      <c r="J24" s="240">
        <v>60</v>
      </c>
      <c r="K24" s="240">
        <v>35</v>
      </c>
      <c r="L24" s="239">
        <f t="shared" si="12"/>
        <v>35</v>
      </c>
      <c r="M24" s="240">
        <v>60</v>
      </c>
      <c r="N24" s="240">
        <v>35</v>
      </c>
      <c r="O24" s="239">
        <f t="shared" si="13"/>
        <v>35</v>
      </c>
      <c r="P24" s="309">
        <f t="shared" si="14"/>
        <v>35</v>
      </c>
      <c r="Q24" s="237">
        <f t="shared" si="15"/>
        <v>14</v>
      </c>
      <c r="R24" s="308">
        <f t="shared" si="16"/>
        <v>0.18817204301075269</v>
      </c>
      <c r="S24" s="293"/>
      <c r="T24" s="307">
        <f>P24/$P$20</f>
        <v>0.76086956521739135</v>
      </c>
      <c r="U24" s="306"/>
      <c r="V24" s="315">
        <f t="shared" si="17"/>
        <v>0.8</v>
      </c>
      <c r="W24" s="291"/>
    </row>
    <row r="25" spans="1:34" x14ac:dyDescent="0.25">
      <c r="A25" s="235"/>
      <c r="B25" s="235"/>
      <c r="C25" s="312"/>
      <c r="D25" s="312"/>
      <c r="E25" s="311"/>
      <c r="F25" s="310"/>
      <c r="G25" s="240"/>
      <c r="H25" s="240"/>
      <c r="I25" s="250"/>
      <c r="J25" s="240"/>
      <c r="K25" s="240"/>
      <c r="L25" s="250"/>
      <c r="M25" s="240"/>
      <c r="N25" s="240"/>
      <c r="O25" s="250"/>
      <c r="P25" s="309"/>
      <c r="Q25" s="237"/>
      <c r="R25" s="293"/>
      <c r="S25" s="293"/>
      <c r="T25" s="307"/>
      <c r="U25" s="306"/>
      <c r="V25" s="291"/>
      <c r="W25" s="291"/>
    </row>
    <row r="26" spans="1:34" x14ac:dyDescent="0.25">
      <c r="A26" s="244">
        <f>AA18</f>
        <v>0</v>
      </c>
      <c r="B26" s="235">
        <f t="shared" ref="B26:B31" si="18">Z$6</f>
        <v>400</v>
      </c>
      <c r="C26" s="312">
        <v>500</v>
      </c>
      <c r="D26" s="312">
        <v>310</v>
      </c>
      <c r="E26" s="311">
        <f t="shared" ref="E26:E31" si="19">C26/1000*3600/D26</f>
        <v>5.806451612903226</v>
      </c>
      <c r="F26" s="310">
        <f t="shared" ref="F26:F31" si="20">E26-$Q$7</f>
        <v>5.5764516129032256</v>
      </c>
      <c r="G26" s="240">
        <v>60</v>
      </c>
      <c r="H26" s="240">
        <v>96</v>
      </c>
      <c r="I26" s="239">
        <f t="shared" ref="I26:I31" si="21">IF(AND(G26&gt;0,H26&gt;0), H26/(G26/60)*sg_corr_factor, 0)</f>
        <v>97.022617567823744</v>
      </c>
      <c r="J26" s="240">
        <v>60</v>
      </c>
      <c r="K26" s="240">
        <v>96</v>
      </c>
      <c r="L26" s="239">
        <f t="shared" ref="L26:L31" si="22">IF(AND(J26&gt;0,K26&gt;0), K26/(J26/60)*sg_corr_factor, 0)</f>
        <v>97.022617567823744</v>
      </c>
      <c r="M26" s="240">
        <v>60</v>
      </c>
      <c r="N26" s="240">
        <v>96</v>
      </c>
      <c r="O26" s="239">
        <f t="shared" ref="O26:O31" si="23">IF(AND(M26&gt;0,N26&gt;0), N26/(M26/60)*sg_corr_factor, 0)</f>
        <v>97.022617567823744</v>
      </c>
      <c r="P26" s="309">
        <f t="shared" ref="P26:P31" si="24">60*H26/G26</f>
        <v>96</v>
      </c>
      <c r="Q26" s="237">
        <f t="shared" ref="Q26:Q31" si="25">P26/100*A26/100*0.8</f>
        <v>0</v>
      </c>
      <c r="R26" s="308">
        <f t="shared" ref="R26:R31" si="26">Q26/E26</f>
        <v>0</v>
      </c>
      <c r="S26" s="293"/>
      <c r="T26" s="307"/>
      <c r="U26" s="306"/>
      <c r="V26" s="291"/>
      <c r="W26" s="291"/>
      <c r="X26" s="249"/>
      <c r="Y26" s="248" t="s">
        <v>391</v>
      </c>
      <c r="Z26" s="248"/>
    </row>
    <row r="27" spans="1:34" x14ac:dyDescent="0.25">
      <c r="A27" s="244">
        <v>500</v>
      </c>
      <c r="B27" s="235">
        <f t="shared" si="18"/>
        <v>400</v>
      </c>
      <c r="C27" s="312">
        <v>900</v>
      </c>
      <c r="D27" s="312">
        <v>310</v>
      </c>
      <c r="E27" s="311">
        <f t="shared" si="19"/>
        <v>10.451612903225806</v>
      </c>
      <c r="F27" s="310">
        <f t="shared" si="20"/>
        <v>10.221612903225806</v>
      </c>
      <c r="G27" s="240">
        <v>60</v>
      </c>
      <c r="H27" s="240">
        <v>93</v>
      </c>
      <c r="I27" s="239">
        <f t="shared" si="21"/>
        <v>93.990660768829258</v>
      </c>
      <c r="J27" s="240">
        <v>60</v>
      </c>
      <c r="K27" s="240">
        <v>94</v>
      </c>
      <c r="L27" s="239">
        <f t="shared" si="22"/>
        <v>95.001313035160763</v>
      </c>
      <c r="M27" s="240">
        <v>60</v>
      </c>
      <c r="N27" s="240">
        <v>94</v>
      </c>
      <c r="O27" s="239">
        <f t="shared" si="23"/>
        <v>95.001313035160763</v>
      </c>
      <c r="P27" s="309">
        <f t="shared" si="24"/>
        <v>93</v>
      </c>
      <c r="Q27" s="237">
        <f t="shared" si="25"/>
        <v>3.7200000000000006</v>
      </c>
      <c r="R27" s="308">
        <f t="shared" si="26"/>
        <v>0.35592592592592598</v>
      </c>
      <c r="S27" s="293"/>
      <c r="T27" s="307">
        <f>P27/$P$27</f>
        <v>1</v>
      </c>
      <c r="U27" s="306"/>
      <c r="V27" s="291"/>
      <c r="W27" s="291"/>
      <c r="AG27" s="286">
        <v>100</v>
      </c>
      <c r="AH27" s="286">
        <f>AG27/400*600</f>
        <v>150</v>
      </c>
    </row>
    <row r="28" spans="1:34" x14ac:dyDescent="0.25">
      <c r="A28" s="244">
        <v>1000</v>
      </c>
      <c r="B28" s="235">
        <f t="shared" si="18"/>
        <v>400</v>
      </c>
      <c r="C28" s="312">
        <v>1400</v>
      </c>
      <c r="D28" s="312">
        <v>310</v>
      </c>
      <c r="E28" s="311">
        <f t="shared" si="19"/>
        <v>16.258064516129032</v>
      </c>
      <c r="F28" s="310">
        <f t="shared" si="20"/>
        <v>16.028064516129032</v>
      </c>
      <c r="G28" s="240">
        <v>60</v>
      </c>
      <c r="H28" s="240">
        <v>90</v>
      </c>
      <c r="I28" s="239">
        <f t="shared" si="21"/>
        <v>90.958703969834772</v>
      </c>
      <c r="J28" s="240">
        <v>60</v>
      </c>
      <c r="K28" s="240">
        <v>90</v>
      </c>
      <c r="L28" s="239">
        <f t="shared" si="22"/>
        <v>90.958703969834772</v>
      </c>
      <c r="M28" s="240">
        <v>60</v>
      </c>
      <c r="N28" s="240">
        <v>90</v>
      </c>
      <c r="O28" s="239">
        <f t="shared" si="23"/>
        <v>90.958703969834772</v>
      </c>
      <c r="P28" s="309">
        <f t="shared" si="24"/>
        <v>90</v>
      </c>
      <c r="Q28" s="237">
        <f t="shared" si="25"/>
        <v>7.2</v>
      </c>
      <c r="R28" s="308">
        <f t="shared" si="26"/>
        <v>0.44285714285714289</v>
      </c>
      <c r="S28" s="293"/>
      <c r="T28" s="307">
        <f>P28/$P$27</f>
        <v>0.967741935483871</v>
      </c>
      <c r="U28" s="306"/>
      <c r="V28" s="291"/>
      <c r="W28" s="291"/>
      <c r="AG28" s="286">
        <v>200</v>
      </c>
      <c r="AH28" s="286">
        <f>AG28/400*600</f>
        <v>300</v>
      </c>
    </row>
    <row r="29" spans="1:34" x14ac:dyDescent="0.25">
      <c r="A29" s="244">
        <v>3000</v>
      </c>
      <c r="B29" s="235">
        <f t="shared" si="18"/>
        <v>400</v>
      </c>
      <c r="C29" s="312">
        <v>3200</v>
      </c>
      <c r="D29" s="312">
        <v>300</v>
      </c>
      <c r="E29" s="311">
        <f t="shared" si="19"/>
        <v>38.4</v>
      </c>
      <c r="F29" s="310">
        <f t="shared" si="20"/>
        <v>38.17</v>
      </c>
      <c r="G29" s="240">
        <v>60</v>
      </c>
      <c r="H29" s="240">
        <v>82</v>
      </c>
      <c r="I29" s="239">
        <f t="shared" si="21"/>
        <v>82.873485839182791</v>
      </c>
      <c r="J29" s="240">
        <v>60</v>
      </c>
      <c r="K29" s="240">
        <v>82</v>
      </c>
      <c r="L29" s="239">
        <f t="shared" si="22"/>
        <v>82.873485839182791</v>
      </c>
      <c r="M29" s="240">
        <v>60</v>
      </c>
      <c r="N29" s="240">
        <v>82</v>
      </c>
      <c r="O29" s="239">
        <f t="shared" si="23"/>
        <v>82.873485839182791</v>
      </c>
      <c r="P29" s="309">
        <f t="shared" si="24"/>
        <v>82</v>
      </c>
      <c r="Q29" s="237">
        <f t="shared" si="25"/>
        <v>19.680000000000003</v>
      </c>
      <c r="R29" s="308">
        <f t="shared" si="26"/>
        <v>0.51250000000000007</v>
      </c>
      <c r="S29" s="293"/>
      <c r="T29" s="307">
        <f>P29/$P$27</f>
        <v>0.88172043010752688</v>
      </c>
      <c r="U29" s="306"/>
      <c r="V29" s="291"/>
      <c r="W29" s="291"/>
      <c r="AG29" s="286">
        <v>300</v>
      </c>
      <c r="AH29" s="286">
        <f>AG29/400*600</f>
        <v>450</v>
      </c>
    </row>
    <row r="30" spans="1:34" x14ac:dyDescent="0.25">
      <c r="A30" s="244">
        <v>4000</v>
      </c>
      <c r="B30" s="235">
        <f t="shared" si="18"/>
        <v>400</v>
      </c>
      <c r="C30" s="312">
        <v>4300</v>
      </c>
      <c r="D30" s="312">
        <v>300</v>
      </c>
      <c r="E30" s="311">
        <f t="shared" si="19"/>
        <v>51.6</v>
      </c>
      <c r="F30" s="310">
        <f t="shared" si="20"/>
        <v>51.370000000000005</v>
      </c>
      <c r="G30" s="240">
        <v>60</v>
      </c>
      <c r="H30" s="240">
        <v>78</v>
      </c>
      <c r="I30" s="239">
        <f t="shared" si="21"/>
        <v>78.830876773856801</v>
      </c>
      <c r="J30" s="240">
        <v>60</v>
      </c>
      <c r="K30" s="240">
        <v>78</v>
      </c>
      <c r="L30" s="239">
        <f t="shared" si="22"/>
        <v>78.830876773856801</v>
      </c>
      <c r="M30" s="240">
        <v>60</v>
      </c>
      <c r="N30" s="240">
        <v>78</v>
      </c>
      <c r="O30" s="239">
        <f t="shared" si="23"/>
        <v>78.830876773856801</v>
      </c>
      <c r="P30" s="309">
        <f t="shared" si="24"/>
        <v>78</v>
      </c>
      <c r="Q30" s="237">
        <f t="shared" si="25"/>
        <v>24.96</v>
      </c>
      <c r="R30" s="308">
        <f t="shared" si="26"/>
        <v>0.48372093023255813</v>
      </c>
      <c r="S30" s="293"/>
      <c r="T30" s="307">
        <f>P30/$P$27</f>
        <v>0.83870967741935487</v>
      </c>
      <c r="U30" s="306"/>
      <c r="V30" s="291"/>
      <c r="W30" s="291"/>
      <c r="AG30" s="286">
        <v>400</v>
      </c>
      <c r="AH30" s="286">
        <f>AG30/400*600</f>
        <v>600</v>
      </c>
    </row>
    <row r="31" spans="1:34" x14ac:dyDescent="0.25">
      <c r="A31" s="244">
        <v>5000</v>
      </c>
      <c r="B31" s="235">
        <f t="shared" si="18"/>
        <v>400</v>
      </c>
      <c r="C31" s="312">
        <v>5900</v>
      </c>
      <c r="D31" s="312">
        <v>310</v>
      </c>
      <c r="E31" s="311">
        <f t="shared" si="19"/>
        <v>68.516129032258064</v>
      </c>
      <c r="F31" s="310">
        <f t="shared" si="20"/>
        <v>68.28612903225806</v>
      </c>
      <c r="G31" s="240">
        <v>60</v>
      </c>
      <c r="H31" s="240">
        <v>72</v>
      </c>
      <c r="I31" s="239">
        <f t="shared" si="21"/>
        <v>72.766963175867815</v>
      </c>
      <c r="J31" s="240">
        <v>60</v>
      </c>
      <c r="K31" s="240">
        <v>73</v>
      </c>
      <c r="L31" s="239">
        <f t="shared" si="22"/>
        <v>73.777615442199306</v>
      </c>
      <c r="M31" s="240">
        <v>60</v>
      </c>
      <c r="N31" s="240">
        <v>73</v>
      </c>
      <c r="O31" s="239">
        <f t="shared" si="23"/>
        <v>73.777615442199306</v>
      </c>
      <c r="P31" s="309">
        <f t="shared" si="24"/>
        <v>72</v>
      </c>
      <c r="Q31" s="237">
        <f t="shared" si="25"/>
        <v>28.8</v>
      </c>
      <c r="R31" s="308">
        <f t="shared" si="26"/>
        <v>0.42033898305084749</v>
      </c>
      <c r="S31" s="293"/>
      <c r="T31" s="307">
        <f>P31/$P$27</f>
        <v>0.77419354838709675</v>
      </c>
      <c r="U31" s="306"/>
      <c r="V31" s="291"/>
      <c r="W31" s="291"/>
    </row>
    <row r="32" spans="1:34" x14ac:dyDescent="0.25">
      <c r="A32" s="244"/>
      <c r="B32" s="235"/>
      <c r="C32" s="312"/>
      <c r="D32" s="312"/>
      <c r="E32" s="311"/>
      <c r="F32" s="310"/>
      <c r="G32" s="240"/>
      <c r="H32" s="240"/>
      <c r="I32" s="250"/>
      <c r="J32" s="240"/>
      <c r="K32" s="240"/>
      <c r="L32" s="250"/>
      <c r="M32" s="240"/>
      <c r="N32" s="240"/>
      <c r="O32" s="250"/>
      <c r="P32" s="309"/>
      <c r="Q32" s="237"/>
      <c r="R32" s="293"/>
      <c r="S32" s="293"/>
      <c r="T32" s="307"/>
      <c r="U32" s="306"/>
      <c r="V32" s="291"/>
      <c r="W32" s="291"/>
    </row>
    <row r="33" spans="1:34" x14ac:dyDescent="0.25">
      <c r="A33" s="244">
        <f>AA25</f>
        <v>0</v>
      </c>
      <c r="B33" s="235">
        <f t="shared" ref="B33:B38" si="27">Z$7</f>
        <v>600</v>
      </c>
      <c r="C33" s="312">
        <v>900</v>
      </c>
      <c r="D33" s="312">
        <v>310</v>
      </c>
      <c r="E33" s="311">
        <f t="shared" ref="E33:E38" si="28">C33/1000*3600/D33</f>
        <v>10.451612903225806</v>
      </c>
      <c r="F33" s="310">
        <f t="shared" ref="F33:F38" si="29">E33-$Q$7</f>
        <v>10.221612903225806</v>
      </c>
      <c r="G33" s="240">
        <v>60</v>
      </c>
      <c r="H33" s="240">
        <v>146</v>
      </c>
      <c r="I33" s="239">
        <f t="shared" ref="I33:I38" si="30">IF(AND(G33&gt;0,H33&gt;0), H33/(G33/60)*sg_corr_factor, 0)</f>
        <v>147.55523088439861</v>
      </c>
      <c r="J33" s="240">
        <v>60</v>
      </c>
      <c r="K33" s="240">
        <v>146</v>
      </c>
      <c r="L33" s="239">
        <f t="shared" ref="L33:L38" si="31">IF(AND(J33&gt;0,K33&gt;0), K33/(J33/60)*sg_corr_factor, 0)</f>
        <v>147.55523088439861</v>
      </c>
      <c r="M33" s="240">
        <v>60</v>
      </c>
      <c r="N33" s="240">
        <v>146</v>
      </c>
      <c r="O33" s="239">
        <f t="shared" ref="O33:O38" si="32">IF(AND(M33&gt;0,N33&gt;0), N33/(M33/60)*sg_corr_factor, 0)</f>
        <v>147.55523088439861</v>
      </c>
      <c r="P33" s="309">
        <f t="shared" ref="P33:P38" si="33">AVERAGE(I33,L33,O33)</f>
        <v>147.55523088439861</v>
      </c>
      <c r="Q33" s="237">
        <f t="shared" ref="Q33:Q38" si="34">P33/100*A33/100*0.8</f>
        <v>0</v>
      </c>
      <c r="R33" s="308">
        <f t="shared" ref="R33:R38" si="35">Q33/E33</f>
        <v>0</v>
      </c>
      <c r="S33" s="293"/>
      <c r="T33" s="307"/>
      <c r="U33" s="306"/>
      <c r="V33" s="291"/>
      <c r="W33" s="291"/>
      <c r="X33" s="249"/>
      <c r="Y33" s="288" t="s">
        <v>393</v>
      </c>
      <c r="Z33" s="248"/>
    </row>
    <row r="34" spans="1:34" x14ac:dyDescent="0.25">
      <c r="A34" s="244">
        <v>500</v>
      </c>
      <c r="B34" s="235">
        <f t="shared" si="27"/>
        <v>600</v>
      </c>
      <c r="C34" s="312">
        <v>1600</v>
      </c>
      <c r="D34" s="312">
        <v>300</v>
      </c>
      <c r="E34" s="311">
        <f t="shared" si="28"/>
        <v>19.2</v>
      </c>
      <c r="F34" s="310">
        <f t="shared" si="29"/>
        <v>18.97</v>
      </c>
      <c r="G34" s="240">
        <v>60</v>
      </c>
      <c r="H34" s="240">
        <v>142</v>
      </c>
      <c r="I34" s="239">
        <f t="shared" si="30"/>
        <v>143.51262181907262</v>
      </c>
      <c r="J34" s="240">
        <v>60</v>
      </c>
      <c r="K34" s="240">
        <v>142</v>
      </c>
      <c r="L34" s="239">
        <f t="shared" si="31"/>
        <v>143.51262181907262</v>
      </c>
      <c r="M34" s="240">
        <v>60</v>
      </c>
      <c r="N34" s="240">
        <v>142</v>
      </c>
      <c r="O34" s="239">
        <f t="shared" si="32"/>
        <v>143.51262181907262</v>
      </c>
      <c r="P34" s="309">
        <f t="shared" si="33"/>
        <v>143.51262181907262</v>
      </c>
      <c r="Q34" s="237">
        <f t="shared" si="34"/>
        <v>5.740504872762906</v>
      </c>
      <c r="R34" s="308">
        <f t="shared" si="35"/>
        <v>0.2989846287897347</v>
      </c>
      <c r="S34" s="293"/>
      <c r="T34" s="307">
        <f>P34/$P$34</f>
        <v>1</v>
      </c>
      <c r="U34" s="306"/>
      <c r="V34" s="291"/>
      <c r="W34" s="291"/>
      <c r="AG34" s="286">
        <v>100</v>
      </c>
      <c r="AH34" s="286">
        <f>AG34/400*600</f>
        <v>150</v>
      </c>
    </row>
    <row r="35" spans="1:34" x14ac:dyDescent="0.25">
      <c r="A35" s="244">
        <v>1000</v>
      </c>
      <c r="B35" s="235">
        <f t="shared" si="27"/>
        <v>600</v>
      </c>
      <c r="C35" s="312">
        <v>2500</v>
      </c>
      <c r="D35" s="312">
        <v>360</v>
      </c>
      <c r="E35" s="311">
        <f t="shared" si="28"/>
        <v>25</v>
      </c>
      <c r="F35" s="310">
        <f t="shared" si="29"/>
        <v>24.77</v>
      </c>
      <c r="G35" s="240">
        <v>60</v>
      </c>
      <c r="H35" s="240">
        <v>138</v>
      </c>
      <c r="I35" s="239">
        <f t="shared" si="30"/>
        <v>139.47001275374663</v>
      </c>
      <c r="J35" s="240">
        <v>60</v>
      </c>
      <c r="K35" s="240">
        <v>136</v>
      </c>
      <c r="L35" s="239">
        <f t="shared" si="31"/>
        <v>137.44870822108365</v>
      </c>
      <c r="M35" s="240">
        <v>60</v>
      </c>
      <c r="N35" s="240">
        <v>136</v>
      </c>
      <c r="O35" s="239">
        <f t="shared" si="32"/>
        <v>137.44870822108365</v>
      </c>
      <c r="P35" s="309">
        <f t="shared" si="33"/>
        <v>138.12247639863799</v>
      </c>
      <c r="Q35" s="237">
        <f t="shared" si="34"/>
        <v>11.04979811189104</v>
      </c>
      <c r="R35" s="308">
        <f t="shared" si="35"/>
        <v>0.44199192447564156</v>
      </c>
      <c r="S35" s="293"/>
      <c r="T35" s="307">
        <f>P35/$P$34</f>
        <v>0.96244131455399073</v>
      </c>
      <c r="U35" s="306"/>
      <c r="V35" s="291"/>
      <c r="W35" s="291"/>
      <c r="AG35" s="286">
        <v>200</v>
      </c>
      <c r="AH35" s="286">
        <f>AG35/400*600</f>
        <v>300</v>
      </c>
    </row>
    <row r="36" spans="1:34" x14ac:dyDescent="0.25">
      <c r="A36" s="244">
        <v>3000</v>
      </c>
      <c r="B36" s="235">
        <f t="shared" si="27"/>
        <v>600</v>
      </c>
      <c r="C36" s="312">
        <v>4200</v>
      </c>
      <c r="D36" s="312">
        <v>310</v>
      </c>
      <c r="E36" s="311">
        <f t="shared" si="28"/>
        <v>48.774193548387096</v>
      </c>
      <c r="F36" s="310">
        <f t="shared" si="29"/>
        <v>48.544193548387099</v>
      </c>
      <c r="G36" s="240">
        <v>60</v>
      </c>
      <c r="H36" s="240">
        <v>120</v>
      </c>
      <c r="I36" s="239">
        <f t="shared" si="30"/>
        <v>121.27827195977969</v>
      </c>
      <c r="J36" s="240">
        <v>60</v>
      </c>
      <c r="K36" s="240">
        <v>120</v>
      </c>
      <c r="L36" s="239">
        <f t="shared" si="31"/>
        <v>121.27827195977969</v>
      </c>
      <c r="M36" s="240">
        <v>60</v>
      </c>
      <c r="N36" s="240">
        <v>120</v>
      </c>
      <c r="O36" s="239">
        <f t="shared" si="32"/>
        <v>121.27827195977969</v>
      </c>
      <c r="P36" s="309">
        <f t="shared" si="33"/>
        <v>121.2782719597797</v>
      </c>
      <c r="Q36" s="237">
        <f t="shared" si="34"/>
        <v>29.106785270347128</v>
      </c>
      <c r="R36" s="308">
        <f t="shared" si="35"/>
        <v>0.59676610011955089</v>
      </c>
      <c r="S36" s="293"/>
      <c r="T36" s="307">
        <f>P36/$P$34</f>
        <v>0.84507042253521147</v>
      </c>
      <c r="U36" s="306"/>
      <c r="V36" s="291"/>
      <c r="W36" s="291"/>
      <c r="AG36" s="286">
        <v>300</v>
      </c>
      <c r="AH36" s="286">
        <f>AG36/400*600</f>
        <v>450</v>
      </c>
    </row>
    <row r="37" spans="1:34" x14ac:dyDescent="0.25">
      <c r="A37" s="244">
        <v>4000</v>
      </c>
      <c r="B37" s="235">
        <f t="shared" si="27"/>
        <v>600</v>
      </c>
      <c r="C37" s="312">
        <v>5000</v>
      </c>
      <c r="D37" s="312">
        <v>310</v>
      </c>
      <c r="E37" s="311">
        <f t="shared" si="28"/>
        <v>58.064516129032256</v>
      </c>
      <c r="F37" s="310">
        <f t="shared" si="29"/>
        <v>57.834516129032259</v>
      </c>
      <c r="G37" s="240">
        <v>60</v>
      </c>
      <c r="H37" s="240">
        <v>113</v>
      </c>
      <c r="I37" s="239">
        <f t="shared" si="30"/>
        <v>114.20370609545921</v>
      </c>
      <c r="J37" s="240">
        <v>60</v>
      </c>
      <c r="K37" s="240">
        <v>113</v>
      </c>
      <c r="L37" s="239">
        <f t="shared" si="31"/>
        <v>114.20370609545921</v>
      </c>
      <c r="M37" s="240">
        <v>60</v>
      </c>
      <c r="N37" s="240">
        <v>114</v>
      </c>
      <c r="O37" s="239">
        <f t="shared" si="32"/>
        <v>115.2143583617907</v>
      </c>
      <c r="P37" s="309">
        <f t="shared" si="33"/>
        <v>114.54059018423636</v>
      </c>
      <c r="Q37" s="237">
        <f t="shared" si="34"/>
        <v>36.652988858955638</v>
      </c>
      <c r="R37" s="308">
        <f t="shared" si="35"/>
        <v>0.63124591923756934</v>
      </c>
      <c r="S37" s="293"/>
      <c r="T37" s="307">
        <f>P37/$P$34</f>
        <v>0.7981220657276995</v>
      </c>
      <c r="U37" s="306"/>
      <c r="V37" s="291"/>
      <c r="W37" s="291"/>
      <c r="AG37" s="286">
        <v>400</v>
      </c>
      <c r="AH37" s="286">
        <f>AG37/400*600</f>
        <v>600</v>
      </c>
    </row>
    <row r="38" spans="1:34" x14ac:dyDescent="0.25">
      <c r="A38" s="244">
        <v>5000</v>
      </c>
      <c r="B38" s="235">
        <f t="shared" si="27"/>
        <v>600</v>
      </c>
      <c r="C38" s="312">
        <v>8300</v>
      </c>
      <c r="D38" s="312">
        <v>420</v>
      </c>
      <c r="E38" s="311">
        <f t="shared" si="28"/>
        <v>71.142857142857153</v>
      </c>
      <c r="F38" s="310">
        <f t="shared" si="29"/>
        <v>70.912857142857149</v>
      </c>
      <c r="G38" s="240">
        <v>60</v>
      </c>
      <c r="H38" s="240">
        <v>108</v>
      </c>
      <c r="I38" s="239">
        <f t="shared" si="30"/>
        <v>109.15044476380172</v>
      </c>
      <c r="J38" s="240">
        <v>60</v>
      </c>
      <c r="K38" s="240">
        <f>185-76</f>
        <v>109</v>
      </c>
      <c r="L38" s="239">
        <f t="shared" si="31"/>
        <v>110.16109703013322</v>
      </c>
      <c r="M38" s="240">
        <v>60</v>
      </c>
      <c r="N38" s="240">
        <v>108</v>
      </c>
      <c r="O38" s="239">
        <f t="shared" si="32"/>
        <v>109.15044476380172</v>
      </c>
      <c r="P38" s="309">
        <f t="shared" si="33"/>
        <v>109.48732885257887</v>
      </c>
      <c r="Q38" s="237">
        <f t="shared" si="34"/>
        <v>43.794931541031559</v>
      </c>
      <c r="R38" s="308">
        <f t="shared" si="35"/>
        <v>0.61559140720325478</v>
      </c>
      <c r="S38" s="293"/>
      <c r="T38" s="307">
        <f>P38/$P$34</f>
        <v>0.76291079812206564</v>
      </c>
      <c r="U38" s="306"/>
      <c r="V38" s="291"/>
      <c r="W38" s="291"/>
    </row>
    <row r="39" spans="1:34" x14ac:dyDescent="0.25">
      <c r="A39" s="235"/>
      <c r="B39" s="235"/>
      <c r="C39" s="312"/>
      <c r="D39" s="312"/>
      <c r="E39" s="311"/>
      <c r="F39" s="310"/>
      <c r="G39" s="240"/>
      <c r="H39" s="240"/>
      <c r="I39" s="239"/>
      <c r="J39" s="240"/>
      <c r="K39" s="240"/>
      <c r="L39" s="239"/>
      <c r="M39" s="240"/>
      <c r="N39" s="240"/>
      <c r="O39" s="239"/>
      <c r="P39" s="309"/>
      <c r="Q39" s="237"/>
      <c r="R39" s="293"/>
      <c r="S39" s="293"/>
      <c r="T39" s="307"/>
      <c r="U39" s="306"/>
      <c r="V39" s="291"/>
      <c r="W39" s="291"/>
    </row>
    <row r="40" spans="1:34" x14ac:dyDescent="0.25">
      <c r="A40" s="244">
        <f>AA32</f>
        <v>0</v>
      </c>
      <c r="B40" s="235">
        <f t="shared" ref="B40:B45" si="36">Z$8</f>
        <v>800</v>
      </c>
      <c r="C40" s="312">
        <v>1300</v>
      </c>
      <c r="D40" s="312">
        <v>310</v>
      </c>
      <c r="E40" s="311">
        <f t="shared" ref="E40:E45" si="37">C40/1000*3600/D40</f>
        <v>15.096774193548388</v>
      </c>
      <c r="F40" s="310">
        <f t="shared" ref="F40:F45" si="38">E40-$Q$7</f>
        <v>14.866774193548387</v>
      </c>
      <c r="G40" s="240">
        <v>60</v>
      </c>
      <c r="H40" s="240">
        <v>190</v>
      </c>
      <c r="I40" s="239">
        <f t="shared" ref="I40:I45" si="39">IF(AND(G40&gt;0,H40&gt;0), H40/(G40/60)*sg_corr_factor, 0)</f>
        <v>192.02393060298451</v>
      </c>
      <c r="J40" s="240">
        <v>60</v>
      </c>
      <c r="K40" s="240">
        <v>190</v>
      </c>
      <c r="L40" s="239">
        <f>IF(AND(J40&gt;0,K40&gt;0), K40/(J40/60)*sg_corr_factor, 0)</f>
        <v>192.02393060298451</v>
      </c>
      <c r="M40" s="240">
        <v>60</v>
      </c>
      <c r="N40" s="240">
        <v>190</v>
      </c>
      <c r="O40" s="239">
        <f t="shared" ref="O40:O45" si="40">IF(AND(M40&gt;0,N40&gt;0), N40/(M40/60)*sg_corr_factor, 0)</f>
        <v>192.02393060298451</v>
      </c>
      <c r="P40" s="309">
        <f t="shared" ref="P40:P45" si="41">AVERAGE(I40,L40,O40)</f>
        <v>192.02393060298451</v>
      </c>
      <c r="Q40" s="237">
        <f t="shared" ref="Q40:Q45" si="42">P40/100*A40/100*0.8</f>
        <v>0</v>
      </c>
      <c r="R40" s="308">
        <f t="shared" ref="R40:R45" si="43">Q40/E40</f>
        <v>0</v>
      </c>
      <c r="S40" s="293"/>
      <c r="T40" s="307"/>
      <c r="U40" s="306"/>
      <c r="V40" s="291"/>
      <c r="W40" s="291"/>
      <c r="X40" s="249"/>
      <c r="Y40" s="288" t="s">
        <v>393</v>
      </c>
      <c r="Z40" s="248"/>
    </row>
    <row r="41" spans="1:34" x14ac:dyDescent="0.25">
      <c r="A41" s="244">
        <v>500</v>
      </c>
      <c r="B41" s="235">
        <f t="shared" si="36"/>
        <v>800</v>
      </c>
      <c r="C41" s="312">
        <v>2300</v>
      </c>
      <c r="D41" s="312">
        <v>330</v>
      </c>
      <c r="E41" s="311">
        <f t="shared" si="37"/>
        <v>25.09090909090909</v>
      </c>
      <c r="F41" s="310">
        <f t="shared" si="38"/>
        <v>24.86090909090909</v>
      </c>
      <c r="G41" s="240">
        <v>60</v>
      </c>
      <c r="H41" s="240">
        <v>180</v>
      </c>
      <c r="I41" s="239">
        <f t="shared" si="39"/>
        <v>181.91740793966954</v>
      </c>
      <c r="J41" s="240">
        <v>60</v>
      </c>
      <c r="K41" s="240">
        <v>180</v>
      </c>
      <c r="L41" s="239">
        <f>IF(AND(J41&gt;0,K41&gt;0), K41/(J41/60)*sg_corr_factor, 0)</f>
        <v>181.91740793966954</v>
      </c>
      <c r="M41" s="240">
        <v>60</v>
      </c>
      <c r="N41" s="240">
        <v>180</v>
      </c>
      <c r="O41" s="239">
        <f t="shared" si="40"/>
        <v>181.91740793966954</v>
      </c>
      <c r="P41" s="309">
        <f t="shared" si="41"/>
        <v>181.91740793966952</v>
      </c>
      <c r="Q41" s="237">
        <f t="shared" si="42"/>
        <v>7.2766963175867803</v>
      </c>
      <c r="R41" s="308">
        <f t="shared" si="43"/>
        <v>0.29001325903425573</v>
      </c>
      <c r="S41" s="293"/>
      <c r="T41" s="307">
        <f>P41/$P$41</f>
        <v>1</v>
      </c>
      <c r="U41" s="306"/>
      <c r="V41" s="291"/>
      <c r="W41" s="291"/>
      <c r="AG41" s="286">
        <v>100</v>
      </c>
      <c r="AH41" s="286">
        <f>AG41/400*600</f>
        <v>150</v>
      </c>
    </row>
    <row r="42" spans="1:34" x14ac:dyDescent="0.25">
      <c r="A42" s="244">
        <v>1000</v>
      </c>
      <c r="B42" s="235">
        <f t="shared" si="36"/>
        <v>800</v>
      </c>
      <c r="C42" s="312">
        <v>2800</v>
      </c>
      <c r="D42" s="312">
        <v>310</v>
      </c>
      <c r="E42" s="311">
        <f t="shared" si="37"/>
        <v>32.516129032258064</v>
      </c>
      <c r="F42" s="310">
        <f t="shared" si="38"/>
        <v>32.286129032258067</v>
      </c>
      <c r="G42" s="240">
        <v>60</v>
      </c>
      <c r="H42" s="240">
        <v>175</v>
      </c>
      <c r="I42" s="239">
        <f t="shared" si="39"/>
        <v>176.86414660801205</v>
      </c>
      <c r="J42" s="240">
        <v>60</v>
      </c>
      <c r="K42" s="240">
        <v>175</v>
      </c>
      <c r="L42" s="239">
        <f>IF(AND(J42&gt;0,K42&gt;0), K42/(J42/60)*sg_corr_factor, 0)</f>
        <v>176.86414660801205</v>
      </c>
      <c r="M42" s="240">
        <v>60</v>
      </c>
      <c r="N42" s="240">
        <v>175</v>
      </c>
      <c r="O42" s="239">
        <f t="shared" si="40"/>
        <v>176.86414660801205</v>
      </c>
      <c r="P42" s="309">
        <f t="shared" si="41"/>
        <v>176.86414660801202</v>
      </c>
      <c r="Q42" s="237">
        <f t="shared" si="42"/>
        <v>14.149131728640961</v>
      </c>
      <c r="R42" s="308">
        <f t="shared" si="43"/>
        <v>0.4351419480038391</v>
      </c>
      <c r="S42" s="293"/>
      <c r="T42" s="307">
        <f>P42/$P$41</f>
        <v>0.97222222222222221</v>
      </c>
      <c r="U42" s="306"/>
      <c r="V42" s="291"/>
      <c r="W42" s="291"/>
      <c r="AG42" s="286">
        <v>200</v>
      </c>
      <c r="AH42" s="286">
        <f>AG42/400*600</f>
        <v>300</v>
      </c>
    </row>
    <row r="43" spans="1:34" x14ac:dyDescent="0.25">
      <c r="A43" s="244">
        <v>3000</v>
      </c>
      <c r="B43" s="235">
        <f t="shared" si="36"/>
        <v>800</v>
      </c>
      <c r="C43" s="312">
        <v>5700</v>
      </c>
      <c r="D43" s="312">
        <v>330</v>
      </c>
      <c r="E43" s="311">
        <f t="shared" si="37"/>
        <v>62.18181818181818</v>
      </c>
      <c r="F43" s="310">
        <f t="shared" si="38"/>
        <v>61.951818181818183</v>
      </c>
      <c r="G43" s="240">
        <v>60</v>
      </c>
      <c r="H43" s="240">
        <v>155</v>
      </c>
      <c r="I43" s="239">
        <f t="shared" si="39"/>
        <v>156.6511012813821</v>
      </c>
      <c r="J43" s="240">
        <v>60</v>
      </c>
      <c r="K43" s="240">
        <v>155</v>
      </c>
      <c r="L43" s="239">
        <f>IF(AND(J43&gt;0,K43&gt;0), K43/(J43/60)*sg_corr_factor, 0)</f>
        <v>156.6511012813821</v>
      </c>
      <c r="M43" s="240">
        <v>60</v>
      </c>
      <c r="N43" s="240">
        <v>155</v>
      </c>
      <c r="O43" s="239">
        <f t="shared" si="40"/>
        <v>156.6511012813821</v>
      </c>
      <c r="P43" s="309">
        <f t="shared" si="41"/>
        <v>156.6511012813821</v>
      </c>
      <c r="Q43" s="237">
        <f t="shared" si="42"/>
        <v>37.596264307531705</v>
      </c>
      <c r="R43" s="308">
        <f t="shared" si="43"/>
        <v>0.60461828564743969</v>
      </c>
      <c r="S43" s="293"/>
      <c r="T43" s="307">
        <f>P43/$P$41</f>
        <v>0.86111111111111116</v>
      </c>
      <c r="U43" s="306"/>
      <c r="V43" s="291"/>
      <c r="W43" s="291"/>
      <c r="AG43" s="286">
        <v>300</v>
      </c>
      <c r="AH43" s="286">
        <f>AG43/400*600</f>
        <v>450</v>
      </c>
    </row>
    <row r="44" spans="1:34" x14ac:dyDescent="0.25">
      <c r="A44" s="244">
        <v>4000</v>
      </c>
      <c r="B44" s="235">
        <f t="shared" si="36"/>
        <v>800</v>
      </c>
      <c r="C44" s="312">
        <v>5900</v>
      </c>
      <c r="D44" s="312">
        <v>300</v>
      </c>
      <c r="E44" s="311">
        <f t="shared" si="37"/>
        <v>70.8</v>
      </c>
      <c r="F44" s="310">
        <f t="shared" si="38"/>
        <v>70.569999999999993</v>
      </c>
      <c r="G44" s="240">
        <v>60</v>
      </c>
      <c r="H44" s="240">
        <v>150</v>
      </c>
      <c r="I44" s="239">
        <f t="shared" si="39"/>
        <v>151.5978399497246</v>
      </c>
      <c r="J44" s="240">
        <v>60</v>
      </c>
      <c r="K44" s="240">
        <v>150</v>
      </c>
      <c r="L44" s="239">
        <f>IF(AND(J44&gt;0,K44&gt;0), K44/(J44/60)*sg_corr_factor, 0)</f>
        <v>151.5978399497246</v>
      </c>
      <c r="M44" s="240">
        <v>60</v>
      </c>
      <c r="N44" s="240">
        <v>150</v>
      </c>
      <c r="O44" s="239">
        <f t="shared" si="40"/>
        <v>151.5978399497246</v>
      </c>
      <c r="P44" s="309">
        <f t="shared" si="41"/>
        <v>151.5978399497246</v>
      </c>
      <c r="Q44" s="237">
        <f t="shared" si="42"/>
        <v>48.511308783911879</v>
      </c>
      <c r="R44" s="308">
        <f t="shared" si="43"/>
        <v>0.68518797717389668</v>
      </c>
      <c r="S44" s="293"/>
      <c r="T44" s="307">
        <f>P44/$P$41</f>
        <v>0.83333333333333337</v>
      </c>
      <c r="U44" s="306"/>
      <c r="V44" s="291"/>
      <c r="W44" s="291"/>
      <c r="AG44" s="286">
        <v>400</v>
      </c>
      <c r="AH44" s="286">
        <f>AG44/400*600</f>
        <v>600</v>
      </c>
    </row>
    <row r="45" spans="1:34" x14ac:dyDescent="0.25">
      <c r="A45" s="244">
        <v>5000</v>
      </c>
      <c r="B45" s="235">
        <f t="shared" si="36"/>
        <v>800</v>
      </c>
      <c r="C45" s="312">
        <v>7400</v>
      </c>
      <c r="D45" s="312">
        <v>310</v>
      </c>
      <c r="E45" s="311">
        <f t="shared" si="37"/>
        <v>85.935483870967744</v>
      </c>
      <c r="F45" s="310">
        <f t="shared" si="38"/>
        <v>85.70548387096774</v>
      </c>
      <c r="G45" s="240">
        <v>60</v>
      </c>
      <c r="H45" s="240">
        <v>145</v>
      </c>
      <c r="I45" s="239">
        <f t="shared" si="39"/>
        <v>146.54457861806713</v>
      </c>
      <c r="J45" s="240">
        <v>60</v>
      </c>
      <c r="K45" s="240">
        <v>145</v>
      </c>
      <c r="L45" s="239">
        <v>60</v>
      </c>
      <c r="M45" s="240">
        <v>60</v>
      </c>
      <c r="N45" s="240">
        <v>145</v>
      </c>
      <c r="O45" s="239">
        <f t="shared" si="40"/>
        <v>146.54457861806713</v>
      </c>
      <c r="P45" s="309">
        <f t="shared" si="41"/>
        <v>117.69638574537809</v>
      </c>
      <c r="Q45" s="237">
        <f t="shared" si="42"/>
        <v>47.078554298151232</v>
      </c>
      <c r="R45" s="308">
        <f t="shared" si="43"/>
        <v>0.54783602974575385</v>
      </c>
      <c r="S45" s="293"/>
      <c r="T45" s="307">
        <f>P45/$P$41</f>
        <v>0.64697703797764383</v>
      </c>
      <c r="U45" s="306"/>
      <c r="V45" s="291"/>
      <c r="W45" s="291"/>
    </row>
    <row r="46" spans="1:34" x14ac:dyDescent="0.25">
      <c r="A46" s="244"/>
      <c r="B46" s="235"/>
      <c r="C46" s="312"/>
      <c r="D46" s="312"/>
      <c r="E46" s="311"/>
      <c r="F46" s="310"/>
      <c r="G46" s="240"/>
      <c r="H46" s="240"/>
      <c r="I46" s="239"/>
      <c r="J46" s="240"/>
      <c r="K46" s="240"/>
      <c r="L46" s="239"/>
      <c r="M46" s="240"/>
      <c r="N46" s="240"/>
      <c r="O46" s="239"/>
      <c r="P46" s="309"/>
      <c r="Q46" s="237"/>
      <c r="R46" s="293"/>
      <c r="S46" s="293"/>
      <c r="T46" s="307"/>
      <c r="U46" s="306"/>
      <c r="V46" s="291"/>
      <c r="W46" s="291"/>
    </row>
    <row r="47" spans="1:34" x14ac:dyDescent="0.25">
      <c r="A47" s="244">
        <f>AA39</f>
        <v>0</v>
      </c>
      <c r="B47" s="235">
        <f t="shared" ref="B47:B52" si="44">Z$9</f>
        <v>1000</v>
      </c>
      <c r="C47" s="312">
        <v>1400</v>
      </c>
      <c r="D47" s="312">
        <v>310</v>
      </c>
      <c r="E47" s="311">
        <f t="shared" ref="E47:E52" si="45">C47/1000*3600/D47</f>
        <v>16.258064516129032</v>
      </c>
      <c r="F47" s="310">
        <f t="shared" ref="F47:F52" si="46">E47-$Q$7</f>
        <v>16.028064516129032</v>
      </c>
      <c r="G47" s="240">
        <v>60</v>
      </c>
      <c r="H47" s="240">
        <v>235</v>
      </c>
      <c r="I47" s="239">
        <f t="shared" ref="I47:I52" si="47">IF(AND(G47&gt;0,H47&gt;0), H47/(G47/60)*sg_corr_factor, 0)</f>
        <v>237.50328258790188</v>
      </c>
      <c r="J47" s="240">
        <v>60</v>
      </c>
      <c r="K47" s="240">
        <v>235</v>
      </c>
      <c r="L47" s="239">
        <f t="shared" ref="L47:L52" si="48">IF(AND(J47&gt;0,K47&gt;0), K47/(J47/60)*sg_corr_factor, 0)</f>
        <v>237.50328258790188</v>
      </c>
      <c r="M47" s="240">
        <v>60</v>
      </c>
      <c r="N47" s="240">
        <v>235</v>
      </c>
      <c r="O47" s="239">
        <f t="shared" ref="O47:O52" si="49">IF(AND(M47&gt;0,N47&gt;0), N47/(M47/60)*sg_corr_factor, 0)</f>
        <v>237.50328258790188</v>
      </c>
      <c r="P47" s="309">
        <f t="shared" ref="P47:P52" si="50">AVERAGE(I47,L47,O47)</f>
        <v>237.50328258790191</v>
      </c>
      <c r="Q47" s="237">
        <f t="shared" ref="Q47:Q52" si="51">P47/100*A47/100*0.8</f>
        <v>0</v>
      </c>
      <c r="R47" s="308">
        <f t="shared" ref="R47:R52" si="52">Q47/E47</f>
        <v>0</v>
      </c>
      <c r="S47" s="293"/>
      <c r="T47" s="307"/>
      <c r="U47" s="306"/>
      <c r="V47" s="291"/>
      <c r="W47" s="291"/>
      <c r="X47" s="249"/>
      <c r="Y47" s="288" t="s">
        <v>393</v>
      </c>
      <c r="Z47" s="248"/>
    </row>
    <row r="48" spans="1:34" x14ac:dyDescent="0.25">
      <c r="A48" s="244">
        <v>500</v>
      </c>
      <c r="B48" s="235">
        <f t="shared" si="44"/>
        <v>1000</v>
      </c>
      <c r="C48" s="312">
        <v>2100</v>
      </c>
      <c r="D48" s="312">
        <v>300</v>
      </c>
      <c r="E48" s="311">
        <f t="shared" si="45"/>
        <v>25.2</v>
      </c>
      <c r="F48" s="310">
        <f t="shared" si="46"/>
        <v>24.97</v>
      </c>
      <c r="G48" s="240">
        <v>60</v>
      </c>
      <c r="H48" s="240">
        <v>220</v>
      </c>
      <c r="I48" s="239">
        <f t="shared" si="47"/>
        <v>222.34349859292942</v>
      </c>
      <c r="J48" s="240">
        <v>60</v>
      </c>
      <c r="K48" s="240">
        <v>220</v>
      </c>
      <c r="L48" s="239">
        <f t="shared" si="48"/>
        <v>222.34349859292942</v>
      </c>
      <c r="M48" s="240">
        <v>60</v>
      </c>
      <c r="N48" s="240">
        <v>220</v>
      </c>
      <c r="O48" s="239">
        <f t="shared" si="49"/>
        <v>222.34349859292942</v>
      </c>
      <c r="P48" s="309">
        <f t="shared" si="50"/>
        <v>222.34349859292942</v>
      </c>
      <c r="Q48" s="237">
        <f t="shared" si="51"/>
        <v>8.8937399437171774</v>
      </c>
      <c r="R48" s="308">
        <f t="shared" si="52"/>
        <v>0.35292618824274513</v>
      </c>
      <c r="S48" s="293"/>
      <c r="T48" s="307">
        <f>P48/$P$48</f>
        <v>1</v>
      </c>
      <c r="U48" s="306"/>
      <c r="V48" s="291"/>
      <c r="W48" s="291"/>
      <c r="AG48" s="286">
        <v>100</v>
      </c>
      <c r="AH48" s="286">
        <f>AG48/400*600</f>
        <v>150</v>
      </c>
    </row>
    <row r="49" spans="1:34" x14ac:dyDescent="0.25">
      <c r="A49" s="244">
        <v>1000</v>
      </c>
      <c r="B49" s="235">
        <f t="shared" si="44"/>
        <v>1000</v>
      </c>
      <c r="C49" s="312">
        <v>3200</v>
      </c>
      <c r="D49" s="312">
        <v>300</v>
      </c>
      <c r="E49" s="311">
        <f t="shared" si="45"/>
        <v>38.4</v>
      </c>
      <c r="F49" s="310">
        <f t="shared" si="46"/>
        <v>38.17</v>
      </c>
      <c r="G49" s="240">
        <v>60</v>
      </c>
      <c r="H49" s="240">
        <v>210</v>
      </c>
      <c r="I49" s="239">
        <f t="shared" si="47"/>
        <v>212.23697592961446</v>
      </c>
      <c r="J49" s="240">
        <v>60</v>
      </c>
      <c r="K49" s="240">
        <v>210</v>
      </c>
      <c r="L49" s="239">
        <f t="shared" si="48"/>
        <v>212.23697592961446</v>
      </c>
      <c r="M49" s="240">
        <v>60</v>
      </c>
      <c r="N49" s="240">
        <v>210</v>
      </c>
      <c r="O49" s="239">
        <f t="shared" si="49"/>
        <v>212.23697592961446</v>
      </c>
      <c r="P49" s="309">
        <f t="shared" si="50"/>
        <v>212.23697592961446</v>
      </c>
      <c r="Q49" s="237">
        <f t="shared" si="51"/>
        <v>16.978958074369157</v>
      </c>
      <c r="R49" s="308">
        <f t="shared" si="52"/>
        <v>0.44216036652003016</v>
      </c>
      <c r="S49" s="293"/>
      <c r="T49" s="307">
        <f>P49/$P$48</f>
        <v>0.95454545454545459</v>
      </c>
      <c r="U49" s="306"/>
      <c r="V49" s="291"/>
      <c r="W49" s="291"/>
      <c r="AG49" s="286">
        <v>200</v>
      </c>
      <c r="AH49" s="286">
        <f>AG49/400*600</f>
        <v>300</v>
      </c>
    </row>
    <row r="50" spans="1:34" x14ac:dyDescent="0.25">
      <c r="A50" s="244">
        <v>3000</v>
      </c>
      <c r="B50" s="235">
        <f t="shared" si="44"/>
        <v>1000</v>
      </c>
      <c r="C50" s="312">
        <v>6600</v>
      </c>
      <c r="D50" s="312">
        <v>330</v>
      </c>
      <c r="E50" s="311">
        <f t="shared" si="45"/>
        <v>72</v>
      </c>
      <c r="F50" s="310">
        <f t="shared" si="46"/>
        <v>71.77</v>
      </c>
      <c r="G50" s="240">
        <v>60</v>
      </c>
      <c r="H50" s="240">
        <v>195</v>
      </c>
      <c r="I50" s="239">
        <f t="shared" si="47"/>
        <v>197.077191934642</v>
      </c>
      <c r="J50" s="240">
        <v>60</v>
      </c>
      <c r="K50" s="240">
        <v>195</v>
      </c>
      <c r="L50" s="239">
        <f t="shared" si="48"/>
        <v>197.077191934642</v>
      </c>
      <c r="M50" s="240">
        <v>60</v>
      </c>
      <c r="N50" s="240">
        <v>195</v>
      </c>
      <c r="O50" s="239">
        <f t="shared" si="49"/>
        <v>197.077191934642</v>
      </c>
      <c r="P50" s="309">
        <f t="shared" si="50"/>
        <v>197.077191934642</v>
      </c>
      <c r="Q50" s="237">
        <f t="shared" si="51"/>
        <v>47.298526064314082</v>
      </c>
      <c r="R50" s="308">
        <f t="shared" si="52"/>
        <v>0.65692397311547335</v>
      </c>
      <c r="S50" s="293"/>
      <c r="T50" s="307">
        <f>P50/$P$48</f>
        <v>0.88636363636363646</v>
      </c>
      <c r="U50" s="306"/>
      <c r="V50" s="291"/>
      <c r="W50" s="291"/>
      <c r="AG50" s="286">
        <v>300</v>
      </c>
      <c r="AH50" s="286">
        <f>AG50/400*600</f>
        <v>450</v>
      </c>
    </row>
    <row r="51" spans="1:34" x14ac:dyDescent="0.25">
      <c r="A51" s="244">
        <v>4000</v>
      </c>
      <c r="B51" s="235">
        <f t="shared" si="44"/>
        <v>1000</v>
      </c>
      <c r="C51" s="312">
        <v>7700</v>
      </c>
      <c r="D51" s="312">
        <v>310</v>
      </c>
      <c r="E51" s="311">
        <f t="shared" si="45"/>
        <v>89.41935483870968</v>
      </c>
      <c r="F51" s="310">
        <f t="shared" si="46"/>
        <v>89.189354838709676</v>
      </c>
      <c r="G51" s="240">
        <v>60</v>
      </c>
      <c r="H51" s="240">
        <v>185</v>
      </c>
      <c r="I51" s="239">
        <f t="shared" si="47"/>
        <v>186.97066927132701</v>
      </c>
      <c r="J51" s="240">
        <v>60</v>
      </c>
      <c r="K51" s="240">
        <v>185</v>
      </c>
      <c r="L51" s="239">
        <f t="shared" si="48"/>
        <v>186.97066927132701</v>
      </c>
      <c r="M51" s="240">
        <v>60</v>
      </c>
      <c r="N51" s="240">
        <v>185</v>
      </c>
      <c r="O51" s="239">
        <f t="shared" si="49"/>
        <v>186.97066927132701</v>
      </c>
      <c r="P51" s="309">
        <f t="shared" si="50"/>
        <v>186.97066927132701</v>
      </c>
      <c r="Q51" s="237">
        <f t="shared" si="51"/>
        <v>59.830614166824638</v>
      </c>
      <c r="R51" s="308">
        <f t="shared" si="52"/>
        <v>0.66910138498252658</v>
      </c>
      <c r="S51" s="293"/>
      <c r="T51" s="307">
        <f>P51/$P$48</f>
        <v>0.84090909090909094</v>
      </c>
      <c r="U51" s="306"/>
      <c r="V51" s="291"/>
      <c r="W51" s="291"/>
      <c r="AG51" s="286">
        <v>400</v>
      </c>
      <c r="AH51" s="286">
        <f>AG51/400*600</f>
        <v>600</v>
      </c>
    </row>
    <row r="52" spans="1:34" x14ac:dyDescent="0.25">
      <c r="A52" s="244">
        <v>5000</v>
      </c>
      <c r="B52" s="235">
        <f t="shared" si="44"/>
        <v>1000</v>
      </c>
      <c r="C52" s="312">
        <v>9800</v>
      </c>
      <c r="D52" s="312">
        <v>330</v>
      </c>
      <c r="E52" s="311">
        <f t="shared" si="45"/>
        <v>106.90909090909091</v>
      </c>
      <c r="F52" s="310">
        <f t="shared" si="46"/>
        <v>106.6790909090909</v>
      </c>
      <c r="G52" s="240">
        <v>60</v>
      </c>
      <c r="H52" s="240">
        <v>175</v>
      </c>
      <c r="I52" s="239">
        <f t="shared" si="47"/>
        <v>176.86414660801205</v>
      </c>
      <c r="J52" s="240">
        <v>60</v>
      </c>
      <c r="K52" s="240">
        <v>175</v>
      </c>
      <c r="L52" s="239">
        <f t="shared" si="48"/>
        <v>176.86414660801205</v>
      </c>
      <c r="M52" s="240">
        <v>60</v>
      </c>
      <c r="N52" s="240">
        <v>175</v>
      </c>
      <c r="O52" s="239">
        <f t="shared" si="49"/>
        <v>176.86414660801205</v>
      </c>
      <c r="P52" s="309">
        <f t="shared" si="50"/>
        <v>176.86414660801202</v>
      </c>
      <c r="Q52" s="237">
        <f t="shared" si="51"/>
        <v>70.745658643204806</v>
      </c>
      <c r="R52" s="308">
        <f t="shared" si="52"/>
        <v>0.66173660295514702</v>
      </c>
      <c r="S52" s="293"/>
      <c r="T52" s="307">
        <f>P52/$P$48</f>
        <v>0.79545454545454541</v>
      </c>
      <c r="U52" s="306"/>
      <c r="V52" s="291"/>
      <c r="W52" s="291"/>
    </row>
    <row r="53" spans="1:34" x14ac:dyDescent="0.25">
      <c r="A53" s="291"/>
      <c r="B53" s="235"/>
      <c r="C53" s="293"/>
      <c r="D53" s="293"/>
      <c r="E53" s="314"/>
      <c r="F53" s="301"/>
      <c r="G53" s="293"/>
      <c r="H53" s="291"/>
      <c r="I53" s="313"/>
      <c r="J53" s="313"/>
      <c r="K53" s="313"/>
      <c r="L53" s="313"/>
      <c r="M53" s="313"/>
      <c r="N53" s="313"/>
      <c r="O53" s="313"/>
      <c r="P53" s="313"/>
      <c r="Q53" s="245"/>
      <c r="R53" s="293"/>
      <c r="S53" s="293"/>
      <c r="T53" s="307"/>
      <c r="U53" s="306"/>
      <c r="V53" s="291"/>
      <c r="W53" s="291"/>
    </row>
    <row r="54" spans="1:34" x14ac:dyDescent="0.25">
      <c r="A54" s="244">
        <f>AA46</f>
        <v>0</v>
      </c>
      <c r="B54" s="244">
        <f>Z10</f>
        <v>1100</v>
      </c>
      <c r="C54" s="312">
        <v>1800</v>
      </c>
      <c r="D54" s="312">
        <v>310</v>
      </c>
      <c r="E54" s="311">
        <f t="shared" ref="E54:E59" si="53">C54/1000*3600/D54</f>
        <v>20.903225806451612</v>
      </c>
      <c r="F54" s="310">
        <f t="shared" ref="F54:F59" si="54">E54-$Q$7</f>
        <v>20.673225806451612</v>
      </c>
      <c r="G54" s="240">
        <v>60</v>
      </c>
      <c r="H54" s="240">
        <v>255</v>
      </c>
      <c r="I54" s="239">
        <f t="shared" ref="I54:I59" si="55">IF(AND(G54&gt;0,H54&gt;0), H54/(G54/60)*sg_corr_factor, 0)</f>
        <v>257.71632791453186</v>
      </c>
      <c r="J54" s="240">
        <v>60</v>
      </c>
      <c r="K54" s="240">
        <v>255</v>
      </c>
      <c r="L54" s="239">
        <f t="shared" ref="L54:L59" si="56">IF(AND(J54&gt;0,K54&gt;0), K54/(J54/60)*sg_corr_factor, 0)</f>
        <v>257.71632791453186</v>
      </c>
      <c r="M54" s="240">
        <v>60</v>
      </c>
      <c r="N54" s="240">
        <v>255</v>
      </c>
      <c r="O54" s="239">
        <f t="shared" ref="O54:O59" si="57">IF(AND(M54&gt;0,N54&gt;0), N54/(M54/60)*sg_corr_factor, 0)</f>
        <v>257.71632791453186</v>
      </c>
      <c r="P54" s="309">
        <f t="shared" ref="P54:P59" si="58">AVERAGE(I54,L54,O54)</f>
        <v>257.71632791453186</v>
      </c>
      <c r="Q54" s="237">
        <f t="shared" ref="Q54:Q59" si="59">P54/100*A54/100*0.8</f>
        <v>0</v>
      </c>
      <c r="R54" s="308">
        <f t="shared" ref="R54:R59" si="60">Q54/E54</f>
        <v>0</v>
      </c>
      <c r="S54" s="293"/>
      <c r="T54" s="307"/>
      <c r="U54" s="306"/>
      <c r="V54" s="291"/>
      <c r="W54" s="291"/>
      <c r="Y54" s="288" t="s">
        <v>393</v>
      </c>
    </row>
    <row r="55" spans="1:34" x14ac:dyDescent="0.25">
      <c r="A55" s="244">
        <v>500</v>
      </c>
      <c r="B55" s="244">
        <f>B54</f>
        <v>1100</v>
      </c>
      <c r="C55" s="312">
        <v>2800</v>
      </c>
      <c r="D55" s="312">
        <v>310</v>
      </c>
      <c r="E55" s="311">
        <f t="shared" si="53"/>
        <v>32.516129032258064</v>
      </c>
      <c r="F55" s="310">
        <f t="shared" si="54"/>
        <v>32.286129032258067</v>
      </c>
      <c r="G55" s="240">
        <v>60</v>
      </c>
      <c r="H55" s="240">
        <v>240</v>
      </c>
      <c r="I55" s="239">
        <f t="shared" si="55"/>
        <v>242.55654391955937</v>
      </c>
      <c r="J55" s="240">
        <v>60</v>
      </c>
      <c r="K55" s="240">
        <v>240</v>
      </c>
      <c r="L55" s="239">
        <f t="shared" si="56"/>
        <v>242.55654391955937</v>
      </c>
      <c r="M55" s="240">
        <v>60</v>
      </c>
      <c r="N55" s="240">
        <v>240</v>
      </c>
      <c r="O55" s="239">
        <f t="shared" si="57"/>
        <v>242.55654391955937</v>
      </c>
      <c r="P55" s="309">
        <f t="shared" si="58"/>
        <v>242.5565439195594</v>
      </c>
      <c r="Q55" s="237">
        <f t="shared" si="59"/>
        <v>9.7022617567823772</v>
      </c>
      <c r="R55" s="308">
        <f t="shared" si="60"/>
        <v>0.2983830500597755</v>
      </c>
      <c r="S55" s="293"/>
      <c r="T55" s="307">
        <f>P55/$P$55</f>
        <v>1</v>
      </c>
      <c r="U55" s="306"/>
      <c r="V55" s="291"/>
      <c r="W55" s="291"/>
    </row>
    <row r="56" spans="1:34" x14ac:dyDescent="0.25">
      <c r="A56" s="244">
        <v>1000</v>
      </c>
      <c r="B56" s="244">
        <f>B55</f>
        <v>1100</v>
      </c>
      <c r="C56" s="312">
        <v>3600</v>
      </c>
      <c r="D56" s="312">
        <v>300</v>
      </c>
      <c r="E56" s="311">
        <f t="shared" si="53"/>
        <v>43.2</v>
      </c>
      <c r="F56" s="310">
        <f t="shared" si="54"/>
        <v>42.970000000000006</v>
      </c>
      <c r="G56" s="240">
        <v>60</v>
      </c>
      <c r="H56" s="240">
        <v>235</v>
      </c>
      <c r="I56" s="239">
        <f t="shared" si="55"/>
        <v>237.50328258790188</v>
      </c>
      <c r="J56" s="240">
        <v>60</v>
      </c>
      <c r="K56" s="240">
        <v>235</v>
      </c>
      <c r="L56" s="239">
        <f t="shared" si="56"/>
        <v>237.50328258790188</v>
      </c>
      <c r="M56" s="240">
        <v>60</v>
      </c>
      <c r="N56" s="240">
        <v>235</v>
      </c>
      <c r="O56" s="239">
        <f t="shared" si="57"/>
        <v>237.50328258790188</v>
      </c>
      <c r="P56" s="309">
        <f t="shared" si="58"/>
        <v>237.50328258790191</v>
      </c>
      <c r="Q56" s="237">
        <f t="shared" si="59"/>
        <v>19.000262607032152</v>
      </c>
      <c r="R56" s="308">
        <f t="shared" si="60"/>
        <v>0.43982089368129978</v>
      </c>
      <c r="S56" s="293"/>
      <c r="T56" s="307">
        <f>P56/$P$55</f>
        <v>0.97916666666666663</v>
      </c>
      <c r="U56" s="306"/>
      <c r="V56" s="291"/>
      <c r="W56" s="291"/>
    </row>
    <row r="57" spans="1:34" x14ac:dyDescent="0.25">
      <c r="A57" s="244">
        <v>3000</v>
      </c>
      <c r="B57" s="244">
        <f>B56</f>
        <v>1100</v>
      </c>
      <c r="C57" s="312">
        <v>6800</v>
      </c>
      <c r="D57" s="312">
        <v>300</v>
      </c>
      <c r="E57" s="311">
        <f t="shared" si="53"/>
        <v>81.599999999999994</v>
      </c>
      <c r="F57" s="310">
        <f t="shared" si="54"/>
        <v>81.36999999999999</v>
      </c>
      <c r="G57" s="240">
        <v>60</v>
      </c>
      <c r="H57" s="240">
        <v>210</v>
      </c>
      <c r="I57" s="239">
        <f t="shared" si="55"/>
        <v>212.23697592961446</v>
      </c>
      <c r="J57" s="240">
        <v>60</v>
      </c>
      <c r="K57" s="240">
        <v>210</v>
      </c>
      <c r="L57" s="239">
        <f t="shared" si="56"/>
        <v>212.23697592961446</v>
      </c>
      <c r="M57" s="240">
        <v>60</v>
      </c>
      <c r="N57" s="240">
        <v>210</v>
      </c>
      <c r="O57" s="239">
        <f t="shared" si="57"/>
        <v>212.23697592961446</v>
      </c>
      <c r="P57" s="309">
        <f t="shared" si="58"/>
        <v>212.23697592961446</v>
      </c>
      <c r="Q57" s="237">
        <f t="shared" si="59"/>
        <v>50.93687422310748</v>
      </c>
      <c r="R57" s="308">
        <f t="shared" si="60"/>
        <v>0.62422639979298389</v>
      </c>
      <c r="S57" s="293"/>
      <c r="T57" s="307">
        <f>P57/$P$55</f>
        <v>0.87499999999999989</v>
      </c>
      <c r="U57" s="306"/>
      <c r="V57" s="291"/>
      <c r="W57" s="291"/>
    </row>
    <row r="58" spans="1:34" x14ac:dyDescent="0.25">
      <c r="A58" s="244">
        <v>4000</v>
      </c>
      <c r="B58" s="244">
        <f>B57</f>
        <v>1100</v>
      </c>
      <c r="C58" s="312">
        <v>8800</v>
      </c>
      <c r="D58" s="312">
        <v>310</v>
      </c>
      <c r="E58" s="311">
        <f t="shared" si="53"/>
        <v>102.19354838709678</v>
      </c>
      <c r="F58" s="310">
        <f t="shared" si="54"/>
        <v>101.96354838709678</v>
      </c>
      <c r="G58" s="240">
        <v>60</v>
      </c>
      <c r="H58" s="240">
        <v>200</v>
      </c>
      <c r="I58" s="239">
        <f t="shared" si="55"/>
        <v>202.13045326629947</v>
      </c>
      <c r="J58" s="240">
        <v>60</v>
      </c>
      <c r="K58" s="240">
        <v>200</v>
      </c>
      <c r="L58" s="239">
        <f t="shared" si="56"/>
        <v>202.13045326629947</v>
      </c>
      <c r="M58" s="240">
        <v>60</v>
      </c>
      <c r="N58" s="240">
        <v>200</v>
      </c>
      <c r="O58" s="239">
        <f t="shared" si="57"/>
        <v>202.13045326629947</v>
      </c>
      <c r="P58" s="309">
        <f t="shared" si="58"/>
        <v>202.13045326629947</v>
      </c>
      <c r="Q58" s="237">
        <f t="shared" si="59"/>
        <v>64.681745045215834</v>
      </c>
      <c r="R58" s="308">
        <f t="shared" si="60"/>
        <v>0.63293374255103874</v>
      </c>
      <c r="S58" s="293"/>
      <c r="T58" s="307">
        <f>P58/$P$55</f>
        <v>0.83333333333333315</v>
      </c>
      <c r="U58" s="306"/>
      <c r="V58" s="291"/>
      <c r="W58" s="291"/>
    </row>
    <row r="59" spans="1:34" x14ac:dyDescent="0.25">
      <c r="A59" s="244">
        <v>5000</v>
      </c>
      <c r="B59" s="244">
        <f>B58</f>
        <v>1100</v>
      </c>
      <c r="C59" s="312">
        <v>9600</v>
      </c>
      <c r="D59" s="312">
        <v>310</v>
      </c>
      <c r="E59" s="311">
        <f t="shared" si="53"/>
        <v>111.48387096774194</v>
      </c>
      <c r="F59" s="310">
        <f t="shared" si="54"/>
        <v>111.25387096774193</v>
      </c>
      <c r="G59" s="240">
        <v>60</v>
      </c>
      <c r="H59" s="240">
        <v>195</v>
      </c>
      <c r="I59" s="239">
        <f t="shared" si="55"/>
        <v>197.077191934642</v>
      </c>
      <c r="J59" s="240">
        <v>60</v>
      </c>
      <c r="K59" s="240">
        <v>195</v>
      </c>
      <c r="L59" s="239">
        <f t="shared" si="56"/>
        <v>197.077191934642</v>
      </c>
      <c r="M59" s="240">
        <v>60</v>
      </c>
      <c r="N59" s="240">
        <v>195</v>
      </c>
      <c r="O59" s="239">
        <f t="shared" si="57"/>
        <v>197.077191934642</v>
      </c>
      <c r="P59" s="309">
        <f t="shared" si="58"/>
        <v>197.077191934642</v>
      </c>
      <c r="Q59" s="237">
        <f t="shared" si="59"/>
        <v>78.830876773856801</v>
      </c>
      <c r="R59" s="308">
        <f t="shared" si="60"/>
        <v>0.70710566550623866</v>
      </c>
      <c r="S59" s="293"/>
      <c r="T59" s="307">
        <f>P59/$P$55</f>
        <v>0.8125</v>
      </c>
      <c r="U59" s="306"/>
      <c r="V59" s="291"/>
      <c r="W59" s="291"/>
    </row>
    <row r="60" spans="1:34" x14ac:dyDescent="0.25">
      <c r="A60" s="234"/>
      <c r="B60" s="235"/>
      <c r="C60" s="293"/>
      <c r="D60" s="293"/>
      <c r="E60" s="293"/>
      <c r="F60" s="293"/>
      <c r="G60" s="293"/>
      <c r="H60" s="291"/>
      <c r="I60" s="291"/>
      <c r="J60" s="291"/>
      <c r="K60" s="291"/>
      <c r="L60" s="291"/>
      <c r="M60" s="291"/>
      <c r="N60" s="291"/>
      <c r="O60" s="291"/>
      <c r="P60" s="291"/>
      <c r="Q60" s="234"/>
      <c r="R60" s="293"/>
      <c r="S60" s="293"/>
      <c r="T60" s="307"/>
      <c r="U60" s="306"/>
      <c r="V60" s="291"/>
      <c r="W60" s="291"/>
    </row>
    <row r="61" spans="1:34" x14ac:dyDescent="0.25">
      <c r="A61" s="234"/>
      <c r="B61" s="235"/>
      <c r="C61" s="293"/>
      <c r="D61" s="293"/>
      <c r="E61" s="293"/>
      <c r="F61" s="293"/>
      <c r="G61" s="293"/>
      <c r="H61" s="291"/>
      <c r="I61" s="291"/>
      <c r="J61" s="291"/>
      <c r="K61" s="291"/>
      <c r="L61" s="291"/>
      <c r="M61" s="291"/>
      <c r="N61" s="291"/>
      <c r="O61" s="291"/>
      <c r="P61" s="291"/>
      <c r="Q61" s="234"/>
      <c r="R61" s="293"/>
      <c r="S61" s="293"/>
      <c r="T61" s="307"/>
      <c r="U61" s="306"/>
      <c r="V61" s="291"/>
      <c r="W61" s="291"/>
    </row>
    <row r="62" spans="1:34" x14ac:dyDescent="0.25">
      <c r="A62" s="234"/>
      <c r="B62" s="235"/>
      <c r="C62" s="293"/>
      <c r="D62" s="293"/>
      <c r="E62" s="293"/>
      <c r="F62" s="293"/>
      <c r="G62" s="293"/>
      <c r="H62" s="291"/>
      <c r="I62" s="291"/>
      <c r="J62" s="291"/>
      <c r="K62" s="291"/>
      <c r="L62" s="291"/>
      <c r="M62" s="291"/>
      <c r="N62" s="291"/>
      <c r="O62" s="291"/>
      <c r="P62" s="291"/>
      <c r="Q62" s="234"/>
      <c r="R62" s="293"/>
      <c r="S62" s="293"/>
      <c r="T62" s="307"/>
      <c r="U62" s="306"/>
      <c r="V62" s="291"/>
      <c r="W62" s="291"/>
    </row>
    <row r="64" spans="1:34" x14ac:dyDescent="0.25">
      <c r="E64" s="305">
        <f>E59/746</f>
        <v>0.14944218628383638</v>
      </c>
      <c r="F64" s="286" t="s">
        <v>396</v>
      </c>
      <c r="I64" s="286" t="s">
        <v>397</v>
      </c>
      <c r="K64" s="304"/>
      <c r="S64" s="219" t="s">
        <v>18</v>
      </c>
      <c r="U64" s="286" t="s">
        <v>345</v>
      </c>
    </row>
    <row r="65" spans="1:26" x14ac:dyDescent="0.25">
      <c r="E65" s="303">
        <f>E59/[2]COMET2_DH300!F51</f>
        <v>0.76521292448172107</v>
      </c>
      <c r="F65" s="286" t="s">
        <v>398</v>
      </c>
      <c r="R65" s="221" t="s">
        <v>205</v>
      </c>
      <c r="S65" s="220">
        <f>B12</f>
        <v>100</v>
      </c>
      <c r="T65" s="219">
        <f>B19</f>
        <v>200</v>
      </c>
      <c r="U65" s="219">
        <f>B26</f>
        <v>400</v>
      </c>
      <c r="V65" s="219">
        <f>B33</f>
        <v>600</v>
      </c>
      <c r="W65" s="219">
        <f>B40</f>
        <v>800</v>
      </c>
      <c r="X65" s="219">
        <f>B47</f>
        <v>1000</v>
      </c>
      <c r="Y65" s="219">
        <f>B54</f>
        <v>1100</v>
      </c>
    </row>
    <row r="66" spans="1:26" x14ac:dyDescent="0.25">
      <c r="I66" s="286">
        <v>1.026</v>
      </c>
      <c r="R66" s="215">
        <f t="shared" ref="R66:R71" si="61">AA4</f>
        <v>0</v>
      </c>
      <c r="S66" s="301">
        <f t="shared" ref="S66:S71" si="62">W12</f>
        <v>0</v>
      </c>
      <c r="T66" s="300">
        <f t="shared" ref="T66:T71" si="63">W19</f>
        <v>0</v>
      </c>
      <c r="U66" s="300">
        <f t="shared" ref="U66:U71" si="64">P26</f>
        <v>96</v>
      </c>
      <c r="V66" s="300">
        <f t="shared" ref="V66:V71" si="65">P33</f>
        <v>147.55523088439861</v>
      </c>
      <c r="W66" s="300">
        <f t="shared" ref="W66:W71" si="66">P40</f>
        <v>192.02393060298451</v>
      </c>
      <c r="X66" s="300">
        <f t="shared" ref="X66:X71" si="67">P47</f>
        <v>237.50328258790191</v>
      </c>
      <c r="Y66" s="300">
        <f t="shared" ref="Y66:Y71" si="68">P54</f>
        <v>257.71632791453186</v>
      </c>
    </row>
    <row r="67" spans="1:26" x14ac:dyDescent="0.25">
      <c r="I67" s="286">
        <v>1.024</v>
      </c>
      <c r="R67" s="215">
        <f t="shared" si="61"/>
        <v>500</v>
      </c>
      <c r="S67" s="301">
        <f t="shared" si="62"/>
        <v>0</v>
      </c>
      <c r="T67" s="300">
        <f t="shared" si="63"/>
        <v>0</v>
      </c>
      <c r="U67" s="300">
        <f t="shared" si="64"/>
        <v>93</v>
      </c>
      <c r="V67" s="300">
        <f t="shared" si="65"/>
        <v>143.51262181907262</v>
      </c>
      <c r="W67" s="300">
        <f t="shared" si="66"/>
        <v>181.91740793966952</v>
      </c>
      <c r="X67" s="300">
        <f t="shared" si="67"/>
        <v>222.34349859292942</v>
      </c>
      <c r="Y67" s="300">
        <f t="shared" si="68"/>
        <v>242.5565439195594</v>
      </c>
    </row>
    <row r="68" spans="1:26" x14ac:dyDescent="0.25">
      <c r="H68" s="286" t="s">
        <v>399</v>
      </c>
      <c r="I68" s="286">
        <f>PI()*(I66/2)*(I67/2)</f>
        <v>0.82515816002128073</v>
      </c>
      <c r="J68" s="286" t="s">
        <v>400</v>
      </c>
      <c r="K68" s="286" t="s">
        <v>401</v>
      </c>
      <c r="R68" s="215">
        <f t="shared" si="61"/>
        <v>1000</v>
      </c>
      <c r="S68" s="301">
        <f t="shared" si="62"/>
        <v>0</v>
      </c>
      <c r="T68" s="300">
        <f t="shared" si="63"/>
        <v>0</v>
      </c>
      <c r="U68" s="300">
        <f t="shared" si="64"/>
        <v>90</v>
      </c>
      <c r="V68" s="300">
        <f t="shared" si="65"/>
        <v>138.12247639863799</v>
      </c>
      <c r="W68" s="300">
        <f t="shared" si="66"/>
        <v>176.86414660801202</v>
      </c>
      <c r="X68" s="300">
        <f t="shared" si="67"/>
        <v>212.23697592961446</v>
      </c>
      <c r="Y68" s="300">
        <f t="shared" si="68"/>
        <v>237.50328258790191</v>
      </c>
    </row>
    <row r="69" spans="1:26" x14ac:dyDescent="0.25">
      <c r="H69" s="286" t="s">
        <v>402</v>
      </c>
      <c r="I69" s="286">
        <v>0.81646099999999999</v>
      </c>
      <c r="J69" s="286" t="s">
        <v>400</v>
      </c>
      <c r="K69" s="286" t="s">
        <v>403</v>
      </c>
      <c r="R69" s="215">
        <f t="shared" si="61"/>
        <v>3000</v>
      </c>
      <c r="S69" s="301">
        <f t="shared" si="62"/>
        <v>0</v>
      </c>
      <c r="T69" s="300">
        <f t="shared" si="63"/>
        <v>0</v>
      </c>
      <c r="U69" s="300">
        <f t="shared" si="64"/>
        <v>82</v>
      </c>
      <c r="V69" s="300">
        <f t="shared" si="65"/>
        <v>121.2782719597797</v>
      </c>
      <c r="W69" s="300">
        <f t="shared" si="66"/>
        <v>156.6511012813821</v>
      </c>
      <c r="X69" s="300">
        <f t="shared" si="67"/>
        <v>197.077191934642</v>
      </c>
      <c r="Y69" s="300">
        <f t="shared" si="68"/>
        <v>212.23697592961446</v>
      </c>
    </row>
    <row r="70" spans="1:26" x14ac:dyDescent="0.25">
      <c r="H70" s="286" t="s">
        <v>404</v>
      </c>
      <c r="I70" s="302">
        <f>((I68-I69)/I69)+1</f>
        <v>1.0106522663314974</v>
      </c>
      <c r="K70" s="286" t="s">
        <v>405</v>
      </c>
      <c r="R70" s="215">
        <f t="shared" si="61"/>
        <v>4000</v>
      </c>
      <c r="S70" s="301">
        <f t="shared" si="62"/>
        <v>0</v>
      </c>
      <c r="T70" s="300">
        <f t="shared" si="63"/>
        <v>0</v>
      </c>
      <c r="U70" s="300">
        <f t="shared" si="64"/>
        <v>78</v>
      </c>
      <c r="V70" s="300">
        <f t="shared" si="65"/>
        <v>114.54059018423636</v>
      </c>
      <c r="W70" s="300">
        <f t="shared" si="66"/>
        <v>151.5978399497246</v>
      </c>
      <c r="X70" s="300">
        <f t="shared" si="67"/>
        <v>186.97066927132701</v>
      </c>
      <c r="Y70" s="300">
        <f t="shared" si="68"/>
        <v>202.13045326629947</v>
      </c>
    </row>
    <row r="71" spans="1:26" x14ac:dyDescent="0.25">
      <c r="R71" s="215">
        <f t="shared" si="61"/>
        <v>5000</v>
      </c>
      <c r="S71" s="301">
        <f t="shared" si="62"/>
        <v>0</v>
      </c>
      <c r="T71" s="300">
        <f t="shared" si="63"/>
        <v>0</v>
      </c>
      <c r="U71" s="300">
        <f t="shared" si="64"/>
        <v>72</v>
      </c>
      <c r="V71" s="300">
        <f t="shared" si="65"/>
        <v>109.48732885257887</v>
      </c>
      <c r="W71" s="300">
        <f t="shared" si="66"/>
        <v>117.69638574537809</v>
      </c>
      <c r="X71" s="300">
        <f t="shared" si="67"/>
        <v>176.86414660801202</v>
      </c>
      <c r="Y71" s="300">
        <f t="shared" si="68"/>
        <v>197.077191934642</v>
      </c>
    </row>
    <row r="72" spans="1:26" x14ac:dyDescent="0.25">
      <c r="R72" s="225"/>
    </row>
    <row r="73" spans="1:26" x14ac:dyDescent="0.25">
      <c r="R73" s="286">
        <f>B81</f>
        <v>40</v>
      </c>
      <c r="S73" s="286">
        <f t="shared" ref="S73:Y73" si="69">_xlfn.FORECAST.LINEAR($B$81,S66:S71,$R$66:$R$71)</f>
        <v>0</v>
      </c>
      <c r="T73" s="286">
        <f t="shared" si="69"/>
        <v>0</v>
      </c>
      <c r="U73" s="286">
        <f t="shared" si="69"/>
        <v>95.250618762475057</v>
      </c>
      <c r="V73" s="286">
        <f t="shared" si="69"/>
        <v>146.37152374962864</v>
      </c>
      <c r="W73" s="286">
        <f t="shared" si="69"/>
        <v>190.85111432718747</v>
      </c>
      <c r="X73" s="286">
        <f t="shared" si="69"/>
        <v>229.57339424668609</v>
      </c>
      <c r="Y73" s="286">
        <f t="shared" si="69"/>
        <v>250.9504043590911</v>
      </c>
      <c r="Z73" s="286" t="s">
        <v>28</v>
      </c>
    </row>
    <row r="74" spans="1:26" x14ac:dyDescent="0.25">
      <c r="Q74" s="286" t="s">
        <v>28</v>
      </c>
      <c r="R74" s="292">
        <f>B80</f>
        <v>100</v>
      </c>
      <c r="S74" s="299">
        <f>_xlfn.FORECAST.LINEAR(R74,S65:Y65,S73:Y73)</f>
        <v>486.74663231837553</v>
      </c>
      <c r="T74" s="287" t="s">
        <v>18</v>
      </c>
    </row>
    <row r="78" spans="1:26" x14ac:dyDescent="0.25">
      <c r="A78" s="223" t="s">
        <v>346</v>
      </c>
      <c r="B78" s="288">
        <v>1670</v>
      </c>
      <c r="C78" s="286" t="s">
        <v>28</v>
      </c>
    </row>
    <row r="79" spans="1:26" x14ac:dyDescent="0.25">
      <c r="B79" s="288">
        <v>1000</v>
      </c>
      <c r="C79" s="286" t="s">
        <v>18</v>
      </c>
    </row>
    <row r="80" spans="1:26" x14ac:dyDescent="0.25">
      <c r="A80" s="286" t="s">
        <v>349</v>
      </c>
      <c r="B80" s="298">
        <f>Q</f>
        <v>100</v>
      </c>
      <c r="C80" s="286" t="s">
        <v>28</v>
      </c>
    </row>
    <row r="81" spans="1:23" x14ac:dyDescent="0.25">
      <c r="A81" s="286" t="s">
        <v>350</v>
      </c>
      <c r="B81" s="298">
        <f>Pavg</f>
        <v>40</v>
      </c>
      <c r="C81" s="286">
        <v>1000</v>
      </c>
      <c r="D81" s="286" t="s">
        <v>351</v>
      </c>
    </row>
    <row r="82" spans="1:23" x14ac:dyDescent="0.25">
      <c r="A82" s="286" t="s">
        <v>352</v>
      </c>
      <c r="B82" s="288">
        <v>0</v>
      </c>
      <c r="C82" s="286" t="s">
        <v>353</v>
      </c>
      <c r="E82" s="286" t="s">
        <v>354</v>
      </c>
    </row>
    <row r="83" spans="1:23" x14ac:dyDescent="0.25">
      <c r="A83" s="286" t="s">
        <v>355</v>
      </c>
      <c r="B83" s="288">
        <f>S74</f>
        <v>486.74663231837553</v>
      </c>
      <c r="T83" s="297">
        <v>100</v>
      </c>
      <c r="U83" s="294"/>
      <c r="V83" s="286">
        <v>200</v>
      </c>
    </row>
    <row r="84" spans="1:23" x14ac:dyDescent="0.25">
      <c r="A84" s="286" t="s">
        <v>356</v>
      </c>
      <c r="B84" s="288">
        <f>(1+(B81/C81*B82))*B83</f>
        <v>486.74663231837553</v>
      </c>
      <c r="T84" s="287" t="s">
        <v>347</v>
      </c>
      <c r="U84" s="286" t="s">
        <v>348</v>
      </c>
      <c r="V84" s="286" t="s">
        <v>347</v>
      </c>
      <c r="W84" s="286" t="s">
        <v>348</v>
      </c>
    </row>
    <row r="85" spans="1:23" x14ac:dyDescent="0.25">
      <c r="A85" s="286" t="s">
        <v>357</v>
      </c>
      <c r="T85" s="294">
        <f t="shared" ref="T85:T90" si="70">C88</f>
        <v>2.17</v>
      </c>
      <c r="U85" s="296">
        <f t="shared" ref="U85:U90" si="71">S66</f>
        <v>0</v>
      </c>
      <c r="V85" s="286">
        <f t="shared" ref="V85:V90" si="72">D88</f>
        <v>3.37</v>
      </c>
      <c r="W85" s="295">
        <f t="shared" ref="W85:W90" si="73">T66</f>
        <v>0</v>
      </c>
    </row>
    <row r="86" spans="1:23" x14ac:dyDescent="0.25">
      <c r="A86" s="221" t="s">
        <v>205</v>
      </c>
      <c r="E86" s="286" t="s">
        <v>358</v>
      </c>
      <c r="H86" s="286" t="s">
        <v>359</v>
      </c>
      <c r="T86" s="294">
        <f t="shared" si="70"/>
        <v>4.2</v>
      </c>
      <c r="U86" s="296">
        <f t="shared" si="71"/>
        <v>0</v>
      </c>
      <c r="V86" s="286">
        <f t="shared" si="72"/>
        <v>6</v>
      </c>
      <c r="W86" s="295">
        <f t="shared" si="73"/>
        <v>0</v>
      </c>
    </row>
    <row r="87" spans="1:23" x14ac:dyDescent="0.25">
      <c r="A87" s="219" t="s">
        <v>18</v>
      </c>
      <c r="B87" s="288">
        <v>0.1</v>
      </c>
      <c r="C87" s="220">
        <f>B12</f>
        <v>100</v>
      </c>
      <c r="D87" s="219">
        <f>B19</f>
        <v>200</v>
      </c>
      <c r="E87" s="219">
        <f>B26</f>
        <v>400</v>
      </c>
      <c r="F87" s="219">
        <f>B33</f>
        <v>600</v>
      </c>
      <c r="G87" s="219">
        <f>B40</f>
        <v>800</v>
      </c>
      <c r="H87" s="219">
        <f>B47</f>
        <v>1000</v>
      </c>
      <c r="I87" s="219">
        <f>B54</f>
        <v>1100</v>
      </c>
      <c r="J87" s="286">
        <f t="shared" ref="J87:J93" si="74">H87*10</f>
        <v>10000</v>
      </c>
      <c r="L87" s="219"/>
      <c r="M87" s="219"/>
      <c r="N87" s="219"/>
      <c r="O87" s="219"/>
      <c r="T87" s="294">
        <f t="shared" si="70"/>
        <v>6.6000000000000005</v>
      </c>
      <c r="U87" s="296">
        <f t="shared" si="71"/>
        <v>0</v>
      </c>
      <c r="V87" s="286">
        <f t="shared" si="72"/>
        <v>9.6</v>
      </c>
      <c r="W87" s="295">
        <f t="shared" si="73"/>
        <v>0</v>
      </c>
    </row>
    <row r="88" spans="1:23" x14ac:dyDescent="0.25">
      <c r="A88" s="215">
        <f>AA4</f>
        <v>0</v>
      </c>
      <c r="B88" s="288">
        <f t="shared" ref="B88:B93" si="75">$Q$7</f>
        <v>0.22999999999999998</v>
      </c>
      <c r="C88" s="293">
        <f>F12</f>
        <v>2.17</v>
      </c>
      <c r="D88" s="291">
        <f>F19</f>
        <v>3.37</v>
      </c>
      <c r="E88" s="291">
        <f t="shared" ref="E88:E93" si="76">F26</f>
        <v>5.5764516129032256</v>
      </c>
      <c r="F88" s="291">
        <f t="shared" ref="F88:F93" si="77">F33</f>
        <v>10.221612903225806</v>
      </c>
      <c r="G88" s="291">
        <f t="shared" ref="G88:G93" si="78">F40</f>
        <v>14.866774193548387</v>
      </c>
      <c r="H88" s="291">
        <f t="shared" ref="H88:H93" si="79">F47</f>
        <v>16.028064516129032</v>
      </c>
      <c r="I88" s="291">
        <f t="shared" ref="I88:I93" si="80">F54</f>
        <v>20.673225806451612</v>
      </c>
      <c r="J88" s="286">
        <f t="shared" si="74"/>
        <v>160.28064516129032</v>
      </c>
      <c r="K88" s="292">
        <f t="shared" ref="K88:K93" ca="1" si="81">_xlfn.FORECAST.LINEAR(__RPM1,OFFSET(B88:H88,0,MATCH(__RPM1,$B$87:$H$87,1)-1,1,2),OFFSET($B$87:$H$87,0,MATCH(__RPM1,$B$87:$H$87,1)-1,1,2))</f>
        <v>7.5912121054590447</v>
      </c>
      <c r="L88" s="291"/>
      <c r="M88" s="291"/>
      <c r="N88" s="291"/>
      <c r="O88" s="291"/>
      <c r="T88" s="294">
        <f t="shared" si="70"/>
        <v>21.6</v>
      </c>
      <c r="U88" s="296">
        <f t="shared" si="71"/>
        <v>0</v>
      </c>
      <c r="V88" s="286">
        <f t="shared" si="72"/>
        <v>38.4</v>
      </c>
      <c r="W88" s="295">
        <f t="shared" si="73"/>
        <v>0</v>
      </c>
    </row>
    <row r="89" spans="1:23" x14ac:dyDescent="0.25">
      <c r="A89" s="215">
        <f>AA5</f>
        <v>500</v>
      </c>
      <c r="B89" s="288">
        <f t="shared" si="75"/>
        <v>0.22999999999999998</v>
      </c>
      <c r="C89" s="293">
        <f>E13</f>
        <v>4.2</v>
      </c>
      <c r="D89" s="291">
        <f>E20</f>
        <v>6</v>
      </c>
      <c r="E89" s="291">
        <f t="shared" si="76"/>
        <v>10.221612903225806</v>
      </c>
      <c r="F89" s="291">
        <f t="shared" si="77"/>
        <v>18.97</v>
      </c>
      <c r="G89" s="291">
        <f t="shared" si="78"/>
        <v>24.86090909090909</v>
      </c>
      <c r="H89" s="291">
        <f t="shared" si="79"/>
        <v>24.97</v>
      </c>
      <c r="I89" s="291">
        <f t="shared" si="80"/>
        <v>32.286129032258067</v>
      </c>
      <c r="J89" s="286">
        <f t="shared" si="74"/>
        <v>249.7</v>
      </c>
      <c r="K89" s="292">
        <f t="shared" ca="1" si="81"/>
        <v>14.016078497539262</v>
      </c>
      <c r="L89" s="291"/>
      <c r="M89" s="291"/>
      <c r="N89" s="291"/>
      <c r="O89" s="291"/>
      <c r="T89" s="294">
        <f t="shared" si="70"/>
        <v>31.2</v>
      </c>
      <c r="U89" s="296">
        <f t="shared" si="71"/>
        <v>0</v>
      </c>
      <c r="V89" s="286">
        <f t="shared" si="72"/>
        <v>60</v>
      </c>
      <c r="W89" s="295">
        <f t="shared" si="73"/>
        <v>0</v>
      </c>
    </row>
    <row r="90" spans="1:23" x14ac:dyDescent="0.25">
      <c r="A90" s="215">
        <f>AA6</f>
        <v>1000</v>
      </c>
      <c r="B90" s="288">
        <f t="shared" si="75"/>
        <v>0.22999999999999998</v>
      </c>
      <c r="C90" s="293">
        <f>E14</f>
        <v>6.6000000000000005</v>
      </c>
      <c r="D90" s="291">
        <f>E21</f>
        <v>9.6</v>
      </c>
      <c r="E90" s="291">
        <f t="shared" si="76"/>
        <v>16.028064516129032</v>
      </c>
      <c r="F90" s="291">
        <f t="shared" si="77"/>
        <v>24.77</v>
      </c>
      <c r="G90" s="291">
        <f t="shared" si="78"/>
        <v>32.286129032258067</v>
      </c>
      <c r="H90" s="291">
        <f t="shared" si="79"/>
        <v>38.17</v>
      </c>
      <c r="I90" s="291">
        <f t="shared" si="80"/>
        <v>42.970000000000006</v>
      </c>
      <c r="J90" s="286">
        <f t="shared" si="74"/>
        <v>381.70000000000005</v>
      </c>
      <c r="K90" s="292">
        <f t="shared" ca="1" si="81"/>
        <v>19.819731831980608</v>
      </c>
      <c r="L90" s="291"/>
      <c r="M90" s="291"/>
      <c r="N90" s="291"/>
      <c r="O90" s="291"/>
      <c r="T90" s="294">
        <f t="shared" si="70"/>
        <v>39.6</v>
      </c>
      <c r="U90" s="296">
        <f t="shared" si="71"/>
        <v>0</v>
      </c>
      <c r="V90" s="286">
        <f t="shared" si="72"/>
        <v>74.400000000000006</v>
      </c>
      <c r="W90" s="295">
        <f t="shared" si="73"/>
        <v>0</v>
      </c>
    </row>
    <row r="91" spans="1:23" x14ac:dyDescent="0.25">
      <c r="A91" s="215">
        <f>AA7</f>
        <v>3000</v>
      </c>
      <c r="B91" s="288">
        <f t="shared" si="75"/>
        <v>0.22999999999999998</v>
      </c>
      <c r="C91" s="293">
        <f>E15</f>
        <v>21.6</v>
      </c>
      <c r="D91" s="291">
        <f>E22</f>
        <v>38.4</v>
      </c>
      <c r="E91" s="291">
        <f t="shared" si="76"/>
        <v>38.17</v>
      </c>
      <c r="F91" s="291">
        <f t="shared" si="77"/>
        <v>48.544193548387099</v>
      </c>
      <c r="G91" s="291">
        <f t="shared" si="78"/>
        <v>61.951818181818183</v>
      </c>
      <c r="H91" s="291">
        <f t="shared" si="79"/>
        <v>71.77</v>
      </c>
      <c r="I91" s="291">
        <f t="shared" si="80"/>
        <v>81.36999999999999</v>
      </c>
      <c r="J91" s="286">
        <f t="shared" si="74"/>
        <v>717.69999999999993</v>
      </c>
      <c r="K91" s="292">
        <f t="shared" ca="1" si="81"/>
        <v>42.669631766707994</v>
      </c>
      <c r="L91" s="291"/>
      <c r="M91" s="291"/>
      <c r="N91" s="291"/>
      <c r="O91" s="291"/>
      <c r="T91" s="294"/>
      <c r="U91" s="294"/>
    </row>
    <row r="92" spans="1:23" x14ac:dyDescent="0.25">
      <c r="A92" s="215">
        <f>AA8</f>
        <v>4000</v>
      </c>
      <c r="B92" s="288">
        <f t="shared" si="75"/>
        <v>0.22999999999999998</v>
      </c>
      <c r="C92" s="293">
        <f>E16</f>
        <v>31.2</v>
      </c>
      <c r="D92" s="291">
        <f>E23</f>
        <v>60</v>
      </c>
      <c r="E92" s="291">
        <f t="shared" si="76"/>
        <v>51.370000000000005</v>
      </c>
      <c r="F92" s="291">
        <f t="shared" si="77"/>
        <v>57.834516129032259</v>
      </c>
      <c r="G92" s="291">
        <f t="shared" si="78"/>
        <v>70.569999999999993</v>
      </c>
      <c r="H92" s="291">
        <f t="shared" si="79"/>
        <v>89.189354838709676</v>
      </c>
      <c r="I92" s="291">
        <f t="shared" si="80"/>
        <v>101.96354838709678</v>
      </c>
      <c r="J92" s="286">
        <f t="shared" si="74"/>
        <v>891.89354838709676</v>
      </c>
      <c r="K92" s="292">
        <f t="shared" ca="1" si="81"/>
        <v>54.173875018806854</v>
      </c>
      <c r="L92" s="291"/>
      <c r="M92" s="291"/>
      <c r="N92" s="291"/>
      <c r="O92" s="291"/>
    </row>
    <row r="93" spans="1:23" x14ac:dyDescent="0.25">
      <c r="A93" s="215">
        <f>AA9+0.1</f>
        <v>5000.1000000000004</v>
      </c>
      <c r="B93" s="288">
        <f t="shared" si="75"/>
        <v>0.22999999999999998</v>
      </c>
      <c r="C93" s="293">
        <f>E17</f>
        <v>39.6</v>
      </c>
      <c r="D93" s="291">
        <f>E24</f>
        <v>74.400000000000006</v>
      </c>
      <c r="E93" s="291">
        <f t="shared" si="76"/>
        <v>68.28612903225806</v>
      </c>
      <c r="F93" s="291">
        <f t="shared" si="77"/>
        <v>70.912857142857149</v>
      </c>
      <c r="G93" s="291">
        <f t="shared" si="78"/>
        <v>85.70548387096774</v>
      </c>
      <c r="H93" s="291">
        <f t="shared" si="79"/>
        <v>106.6790909090909</v>
      </c>
      <c r="I93" s="291">
        <f t="shared" si="80"/>
        <v>111.25387096774193</v>
      </c>
      <c r="J93" s="286">
        <f t="shared" si="74"/>
        <v>1066.7909090909091</v>
      </c>
      <c r="K93" s="292">
        <f t="shared" ca="1" si="81"/>
        <v>69.425428120310457</v>
      </c>
      <c r="L93" s="291"/>
      <c r="M93" s="291"/>
      <c r="N93" s="291"/>
      <c r="O93" s="291"/>
    </row>
    <row r="96" spans="1:23" x14ac:dyDescent="0.25">
      <c r="A96" s="286" t="s">
        <v>360</v>
      </c>
      <c r="B96" s="290">
        <f>B84</f>
        <v>486.74663231837553</v>
      </c>
      <c r="C96" s="286" t="s">
        <v>18</v>
      </c>
    </row>
    <row r="97" spans="1:3" x14ac:dyDescent="0.25">
      <c r="A97" s="286" t="s">
        <v>361</v>
      </c>
      <c r="B97" s="290">
        <f>B81</f>
        <v>40</v>
      </c>
      <c r="C97" s="286" t="s">
        <v>97</v>
      </c>
    </row>
    <row r="98" spans="1:3" x14ac:dyDescent="0.25">
      <c r="A98" s="286" t="s">
        <v>362</v>
      </c>
      <c r="B98" s="289">
        <f ca="1">_xlfn.FORECAST.LINEAR(Press1,OFFSET(K88:K93,MATCH(Press1,A88:A93,1)-1,0,2),OFFSET(A88:A93,MATCH(Press1,A88:A93,1)-1,0,2))</f>
        <v>8.1052014168254605</v>
      </c>
      <c r="C98" s="286" t="s">
        <v>19</v>
      </c>
    </row>
  </sheetData>
  <mergeCells count="7">
    <mergeCell ref="A2:S2"/>
    <mergeCell ref="C9:E9"/>
    <mergeCell ref="G9:O9"/>
    <mergeCell ref="S9:U9"/>
    <mergeCell ref="G10:I10"/>
    <mergeCell ref="J10:L10"/>
    <mergeCell ref="M10:O10"/>
  </mergeCells>
  <pageMargins left="0.70866141732283472" right="0.70866141732283472" top="0.74803149606299213" bottom="0.74803149606299213" header="0.31496062992125984" footer="0.31496062992125984"/>
  <pageSetup scale="63" orientation="landscape" r:id="rId1"/>
  <rowBreaks count="1" manualBreakCount="1">
    <brk id="55" max="1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FCA26-0CA2-4E00-9D7B-8BC2BD3B3A1D}">
  <sheetPr codeName="Sheet17">
    <tabColor rgb="FF92D050"/>
  </sheetPr>
  <dimension ref="A1:AQ98"/>
  <sheetViews>
    <sheetView topLeftCell="A36" zoomScale="115" zoomScaleNormal="115" workbookViewId="0">
      <selection activeCell="J50" sqref="J50"/>
    </sheetView>
  </sheetViews>
  <sheetFormatPr defaultColWidth="9.140625" defaultRowHeight="15" x14ac:dyDescent="0.25"/>
  <cols>
    <col min="1" max="1" width="14.7109375" style="286" customWidth="1"/>
    <col min="2" max="2" width="11.28515625" style="288" customWidth="1"/>
    <col min="3" max="3" width="12.42578125" style="286" customWidth="1"/>
    <col min="4" max="4" width="19.140625" style="286" customWidth="1"/>
    <col min="5" max="5" width="13.7109375" style="286" customWidth="1"/>
    <col min="6" max="6" width="14.85546875" style="286" customWidth="1"/>
    <col min="7" max="7" width="13.140625" style="286" customWidth="1"/>
    <col min="8" max="8" width="9.140625" style="286"/>
    <col min="9" max="9" width="15.28515625" style="286" customWidth="1"/>
    <col min="10" max="15" width="9.140625" style="286"/>
    <col min="16" max="16" width="12.140625" style="286" customWidth="1"/>
    <col min="17" max="17" width="10.5703125" style="286" customWidth="1"/>
    <col min="18" max="18" width="12" style="286" customWidth="1"/>
    <col min="19" max="19" width="9.140625" style="286" customWidth="1"/>
    <col min="20" max="20" width="9.140625" style="287"/>
    <col min="21" max="24" width="9.140625" style="286"/>
    <col min="25" max="25" width="12.28515625" style="286" bestFit="1" customWidth="1"/>
    <col min="26" max="16384" width="9.140625" style="286"/>
  </cols>
  <sheetData>
    <row r="1" spans="1:34" x14ac:dyDescent="0.25">
      <c r="B1" s="293" t="s">
        <v>305</v>
      </c>
      <c r="C1" s="326">
        <v>45769</v>
      </c>
      <c r="D1" s="312" t="s">
        <v>381</v>
      </c>
      <c r="E1" s="291"/>
      <c r="F1" s="291"/>
    </row>
    <row r="2" spans="1:34" ht="25.5" customHeight="1" x14ac:dyDescent="0.35">
      <c r="A2" s="401" t="s">
        <v>382</v>
      </c>
      <c r="B2" s="401"/>
      <c r="C2" s="401"/>
      <c r="D2" s="401"/>
      <c r="E2" s="401"/>
      <c r="F2" s="401"/>
      <c r="G2" s="401"/>
      <c r="H2" s="401"/>
      <c r="I2" s="401"/>
      <c r="J2" s="401"/>
      <c r="K2" s="401"/>
      <c r="L2" s="401"/>
      <c r="M2" s="401"/>
      <c r="N2" s="401"/>
      <c r="O2" s="401"/>
      <c r="P2" s="401"/>
      <c r="Q2" s="401"/>
      <c r="R2" s="401"/>
      <c r="S2" s="401"/>
      <c r="T2" s="286"/>
    </row>
    <row r="3" spans="1:34" x14ac:dyDescent="0.25">
      <c r="A3" s="234" t="s">
        <v>311</v>
      </c>
      <c r="B3" s="235"/>
      <c r="C3" s="284" t="s">
        <v>364</v>
      </c>
      <c r="D3" s="234"/>
      <c r="E3" s="234"/>
      <c r="F3" s="234"/>
      <c r="G3" s="325"/>
      <c r="H3" s="291"/>
      <c r="P3" s="223"/>
      <c r="R3" s="223"/>
      <c r="S3" s="223"/>
      <c r="T3" s="286"/>
      <c r="Z3" s="234" t="s">
        <v>309</v>
      </c>
      <c r="AA3" s="223" t="s">
        <v>310</v>
      </c>
    </row>
    <row r="4" spans="1:34" x14ac:dyDescent="0.25">
      <c r="A4" s="235" t="s">
        <v>313</v>
      </c>
      <c r="B4" s="235"/>
      <c r="C4" s="281">
        <v>0.312</v>
      </c>
      <c r="D4" s="235"/>
      <c r="E4" s="235"/>
      <c r="F4" s="235"/>
      <c r="G4" s="274" t="s">
        <v>314</v>
      </c>
      <c r="H4" s="323" t="s">
        <v>315</v>
      </c>
      <c r="I4" s="323"/>
      <c r="J4" s="323"/>
      <c r="K4" s="323"/>
      <c r="L4" s="323"/>
      <c r="M4" s="323"/>
      <c r="N4" s="323"/>
      <c r="O4" s="323"/>
      <c r="P4" s="323"/>
      <c r="Q4" s="280" t="s">
        <v>19</v>
      </c>
      <c r="R4" s="282"/>
      <c r="S4" s="280"/>
      <c r="T4" s="324"/>
      <c r="U4" s="323"/>
      <c r="V4" s="234"/>
      <c r="Z4" s="234">
        <f>1000*0.1</f>
        <v>100</v>
      </c>
      <c r="AA4" s="274">
        <v>0</v>
      </c>
    </row>
    <row r="5" spans="1:34" x14ac:dyDescent="0.25">
      <c r="A5" s="235" t="s">
        <v>317</v>
      </c>
      <c r="B5" s="235"/>
      <c r="C5" s="281">
        <v>25.4</v>
      </c>
      <c r="D5" s="235"/>
      <c r="E5" s="235"/>
      <c r="F5" s="235"/>
      <c r="G5" s="268" t="s">
        <v>318</v>
      </c>
      <c r="H5" s="312">
        <v>73.5</v>
      </c>
      <c r="I5" s="277"/>
      <c r="J5" s="277"/>
      <c r="K5" s="277"/>
      <c r="L5" s="277"/>
      <c r="M5" s="277"/>
      <c r="N5" s="277"/>
      <c r="O5" s="277"/>
      <c r="P5" s="277"/>
      <c r="Q5" s="323">
        <f>H5/1000*25</f>
        <v>1.8374999999999999</v>
      </c>
      <c r="R5" s="279" t="s">
        <v>319</v>
      </c>
      <c r="S5" s="323"/>
      <c r="T5" s="324"/>
      <c r="U5" s="323"/>
      <c r="V5" s="234"/>
      <c r="Z5" s="234">
        <f>1000*0.2</f>
        <v>200</v>
      </c>
      <c r="AA5" s="274">
        <v>500</v>
      </c>
      <c r="AC5" s="286" t="s">
        <v>316</v>
      </c>
    </row>
    <row r="6" spans="1:34" x14ac:dyDescent="0.25">
      <c r="A6" s="235" t="s">
        <v>320</v>
      </c>
      <c r="B6" s="235"/>
      <c r="C6" s="281">
        <f>0.15-0.014</f>
        <v>0.13599999999999998</v>
      </c>
      <c r="D6" s="235"/>
      <c r="E6" s="235"/>
      <c r="F6" s="235"/>
      <c r="G6" s="274" t="s">
        <v>321</v>
      </c>
      <c r="H6" s="312">
        <v>64.3</v>
      </c>
      <c r="I6" s="277"/>
      <c r="J6" s="277"/>
      <c r="K6" s="277"/>
      <c r="L6" s="277"/>
      <c r="M6" s="277"/>
      <c r="N6" s="277"/>
      <c r="O6" s="277"/>
      <c r="P6" s="277"/>
      <c r="Q6" s="323">
        <f>H6/1000*25</f>
        <v>1.6074999999999999</v>
      </c>
      <c r="R6" s="279" t="s">
        <v>319</v>
      </c>
      <c r="S6" s="323"/>
      <c r="T6" s="324"/>
      <c r="U6" s="323"/>
      <c r="V6" s="234"/>
      <c r="Z6" s="234">
        <f>1000*0.4</f>
        <v>400</v>
      </c>
      <c r="AA6" s="274">
        <v>1000</v>
      </c>
      <c r="AC6" s="286">
        <v>250</v>
      </c>
    </row>
    <row r="7" spans="1:34" x14ac:dyDescent="0.25">
      <c r="A7" s="260" t="s">
        <v>322</v>
      </c>
      <c r="B7" s="235"/>
      <c r="C7" s="281" t="s">
        <v>323</v>
      </c>
      <c r="D7" s="235"/>
      <c r="E7" s="235"/>
      <c r="F7" s="235"/>
      <c r="H7" s="323"/>
      <c r="I7" s="323"/>
      <c r="J7" s="323"/>
      <c r="K7" s="323"/>
      <c r="L7" s="323"/>
      <c r="M7" s="323"/>
      <c r="N7" s="323"/>
      <c r="O7" s="323"/>
      <c r="P7" s="323" t="s">
        <v>324</v>
      </c>
      <c r="Q7" s="280">
        <f>Q5-Q6</f>
        <v>0.22999999999999998</v>
      </c>
      <c r="R7" s="280" t="s">
        <v>19</v>
      </c>
      <c r="S7" s="279" t="s">
        <v>325</v>
      </c>
      <c r="T7" s="324"/>
      <c r="U7" s="323"/>
      <c r="V7" s="234"/>
      <c r="Z7" s="234">
        <f>1000*0.6</f>
        <v>600</v>
      </c>
      <c r="AA7" s="274">
        <v>3000</v>
      </c>
    </row>
    <row r="8" spans="1:34" ht="15.75" thickBot="1" x14ac:dyDescent="0.3">
      <c r="A8" s="260" t="s">
        <v>326</v>
      </c>
      <c r="B8" s="235"/>
      <c r="C8" s="276" t="s">
        <v>327</v>
      </c>
      <c r="D8" s="260"/>
      <c r="E8" s="260"/>
      <c r="F8" s="260"/>
      <c r="G8" s="286" t="s">
        <v>328</v>
      </c>
      <c r="Q8" s="263"/>
      <c r="R8" s="263"/>
      <c r="S8" s="263"/>
      <c r="T8" s="322"/>
      <c r="V8" s="275"/>
      <c r="Z8" s="234">
        <f>1000*0.8</f>
        <v>800</v>
      </c>
      <c r="AA8" s="274">
        <v>4000</v>
      </c>
    </row>
    <row r="9" spans="1:34" x14ac:dyDescent="0.25">
      <c r="A9" s="234" t="s">
        <v>205</v>
      </c>
      <c r="C9" s="402" t="s">
        <v>329</v>
      </c>
      <c r="D9" s="403"/>
      <c r="E9" s="404"/>
      <c r="F9" s="234"/>
      <c r="G9" s="402" t="s">
        <v>330</v>
      </c>
      <c r="H9" s="405"/>
      <c r="I9" s="405"/>
      <c r="J9" s="405"/>
      <c r="K9" s="405"/>
      <c r="L9" s="405"/>
      <c r="M9" s="405"/>
      <c r="N9" s="405"/>
      <c r="O9" s="406"/>
      <c r="P9" s="273" t="s">
        <v>331</v>
      </c>
      <c r="Q9" s="272" t="s">
        <v>332</v>
      </c>
      <c r="R9" s="271" t="s">
        <v>333</v>
      </c>
      <c r="S9" s="407"/>
      <c r="T9" s="410"/>
      <c r="U9" s="410"/>
      <c r="V9" s="321"/>
      <c r="W9" s="320" t="s">
        <v>334</v>
      </c>
      <c r="Z9" s="234">
        <v>1000</v>
      </c>
      <c r="AA9" s="268">
        <v>5000</v>
      </c>
      <c r="AG9" s="286">
        <v>10</v>
      </c>
      <c r="AH9" s="286">
        <f>AG9/400*600</f>
        <v>15</v>
      </c>
    </row>
    <row r="10" spans="1:34" x14ac:dyDescent="0.25">
      <c r="A10" s="234"/>
      <c r="C10" s="267"/>
      <c r="D10" s="263"/>
      <c r="E10" s="263"/>
      <c r="F10" s="235"/>
      <c r="G10" s="409" t="s">
        <v>384</v>
      </c>
      <c r="H10" s="403"/>
      <c r="I10" s="404"/>
      <c r="J10" s="409" t="s">
        <v>385</v>
      </c>
      <c r="K10" s="403"/>
      <c r="L10" s="404"/>
      <c r="M10" s="409" t="s">
        <v>386</v>
      </c>
      <c r="N10" s="403"/>
      <c r="O10" s="404"/>
      <c r="P10" s="266" t="s">
        <v>387</v>
      </c>
      <c r="Q10" s="263"/>
      <c r="R10" s="223"/>
      <c r="S10" s="263"/>
      <c r="T10" s="288"/>
      <c r="U10" s="288"/>
      <c r="V10" s="319"/>
      <c r="W10" s="318"/>
      <c r="Z10" s="234">
        <v>1100</v>
      </c>
      <c r="AA10" s="223"/>
    </row>
    <row r="11" spans="1:34" ht="15.75" thickBot="1" x14ac:dyDescent="0.3">
      <c r="A11" s="235" t="s">
        <v>8</v>
      </c>
      <c r="B11" s="235" t="s">
        <v>18</v>
      </c>
      <c r="C11" s="260" t="s">
        <v>335</v>
      </c>
      <c r="D11" s="263" t="s">
        <v>365</v>
      </c>
      <c r="E11" s="262" t="s">
        <v>19</v>
      </c>
      <c r="F11" s="261" t="s">
        <v>337</v>
      </c>
      <c r="G11" s="250" t="s">
        <v>388</v>
      </c>
      <c r="H11" s="260" t="s">
        <v>339</v>
      </c>
      <c r="I11" s="260" t="s">
        <v>389</v>
      </c>
      <c r="J11" s="250" t="s">
        <v>388</v>
      </c>
      <c r="K11" s="260" t="s">
        <v>339</v>
      </c>
      <c r="L11" s="260" t="s">
        <v>389</v>
      </c>
      <c r="M11" s="250" t="s">
        <v>388</v>
      </c>
      <c r="N11" s="260" t="s">
        <v>339</v>
      </c>
      <c r="O11" s="260" t="s">
        <v>389</v>
      </c>
      <c r="P11" s="259" t="s">
        <v>340</v>
      </c>
      <c r="Q11" s="258" t="s">
        <v>19</v>
      </c>
      <c r="R11" s="257" t="s">
        <v>341</v>
      </c>
      <c r="S11" s="257"/>
      <c r="T11" s="256" t="s">
        <v>342</v>
      </c>
      <c r="U11" s="255"/>
      <c r="V11" s="317" t="s">
        <v>343</v>
      </c>
      <c r="W11" s="253" t="s">
        <v>344</v>
      </c>
      <c r="X11" s="249"/>
      <c r="Y11" s="248" t="s">
        <v>390</v>
      </c>
      <c r="AG11" s="286">
        <v>50</v>
      </c>
      <c r="AH11" s="286">
        <f>AG11/400*600</f>
        <v>75</v>
      </c>
    </row>
    <row r="12" spans="1:34" x14ac:dyDescent="0.25">
      <c r="A12" s="244">
        <f>AA4</f>
        <v>0</v>
      </c>
      <c r="B12" s="235">
        <v>100</v>
      </c>
      <c r="C12" s="312">
        <v>200</v>
      </c>
      <c r="D12" s="312">
        <v>360</v>
      </c>
      <c r="E12" s="311">
        <f t="shared" ref="E12:E17" si="0">C12/1000*3600/D12</f>
        <v>2</v>
      </c>
      <c r="F12" s="310">
        <f t="shared" ref="F12:F17" si="1">E12-$Q$7</f>
        <v>1.77</v>
      </c>
      <c r="G12" s="240">
        <v>60</v>
      </c>
      <c r="H12" s="240">
        <v>50</v>
      </c>
      <c r="I12" s="239">
        <f t="shared" ref="I12:I17" si="2">IF(AND(G12&gt;0,H12&gt;0), H12/(G12/60), 0)</f>
        <v>50</v>
      </c>
      <c r="J12" s="240">
        <v>60</v>
      </c>
      <c r="K12" s="240">
        <v>50</v>
      </c>
      <c r="L12" s="239">
        <f t="shared" ref="L12:L17" si="3">IF(AND(J12&gt;0,K12&gt;0), K12/(J12/60), 0)</f>
        <v>50</v>
      </c>
      <c r="M12" s="240">
        <v>60</v>
      </c>
      <c r="N12" s="240">
        <v>50</v>
      </c>
      <c r="O12" s="239">
        <f t="shared" ref="O12:O17" si="4">IF(AND(M12&gt;0,N12&gt;0), N12/(M12/60), 0)</f>
        <v>50</v>
      </c>
      <c r="P12" s="309">
        <f t="shared" ref="P12:P17" si="5">60*H12/G12</f>
        <v>50</v>
      </c>
      <c r="Q12" s="237">
        <f t="shared" ref="Q12:Q17" si="6">P12/100*A12/100*0.8</f>
        <v>0</v>
      </c>
      <c r="R12" s="308">
        <f t="shared" ref="R12:R17" si="7">Q12/E12</f>
        <v>0</v>
      </c>
      <c r="S12" s="293"/>
      <c r="T12" s="307"/>
      <c r="U12" s="306"/>
      <c r="V12" s="315">
        <f t="shared" ref="V12:V17" si="8">B12/AC$6</f>
        <v>0.4</v>
      </c>
      <c r="W12" s="291"/>
      <c r="X12" s="249"/>
      <c r="Y12" s="248" t="s">
        <v>391</v>
      </c>
      <c r="Z12" s="248"/>
    </row>
    <row r="13" spans="1:34" x14ac:dyDescent="0.25">
      <c r="A13" s="244">
        <v>500</v>
      </c>
      <c r="B13" s="235">
        <v>100</v>
      </c>
      <c r="C13" s="312">
        <v>300</v>
      </c>
      <c r="D13" s="312">
        <v>300</v>
      </c>
      <c r="E13" s="311">
        <f t="shared" si="0"/>
        <v>3.6</v>
      </c>
      <c r="F13" s="310">
        <f t="shared" si="1"/>
        <v>3.37</v>
      </c>
      <c r="G13" s="240">
        <v>60</v>
      </c>
      <c r="H13" s="240">
        <v>48</v>
      </c>
      <c r="I13" s="239">
        <f t="shared" si="2"/>
        <v>48</v>
      </c>
      <c r="J13" s="240">
        <v>60</v>
      </c>
      <c r="K13" s="240">
        <v>48</v>
      </c>
      <c r="L13" s="239">
        <f t="shared" si="3"/>
        <v>48</v>
      </c>
      <c r="M13" s="240">
        <v>60</v>
      </c>
      <c r="N13" s="240">
        <v>48</v>
      </c>
      <c r="O13" s="239">
        <f t="shared" si="4"/>
        <v>48</v>
      </c>
      <c r="P13" s="309">
        <f t="shared" si="5"/>
        <v>48</v>
      </c>
      <c r="Q13" s="237">
        <f t="shared" si="6"/>
        <v>1.92</v>
      </c>
      <c r="R13" s="308">
        <f t="shared" si="7"/>
        <v>0.53333333333333333</v>
      </c>
      <c r="S13" s="293"/>
      <c r="T13" s="307">
        <f>P13/$P$13</f>
        <v>1</v>
      </c>
      <c r="U13" s="306"/>
      <c r="V13" s="315">
        <f t="shared" si="8"/>
        <v>0.4</v>
      </c>
      <c r="W13" s="291"/>
      <c r="Y13" s="207" t="s">
        <v>392</v>
      </c>
      <c r="AG13" s="286">
        <v>100</v>
      </c>
      <c r="AH13" s="286">
        <f>AG13/400*600</f>
        <v>150</v>
      </c>
    </row>
    <row r="14" spans="1:34" x14ac:dyDescent="0.25">
      <c r="A14" s="244">
        <v>1000</v>
      </c>
      <c r="B14" s="235">
        <v>100</v>
      </c>
      <c r="C14" s="312">
        <v>600</v>
      </c>
      <c r="D14" s="312">
        <v>300</v>
      </c>
      <c r="E14" s="311">
        <f t="shared" si="0"/>
        <v>7.2</v>
      </c>
      <c r="F14" s="310">
        <f t="shared" si="1"/>
        <v>6.9700000000000006</v>
      </c>
      <c r="G14" s="240">
        <v>60</v>
      </c>
      <c r="H14" s="240">
        <v>45</v>
      </c>
      <c r="I14" s="239">
        <f t="shared" si="2"/>
        <v>45</v>
      </c>
      <c r="J14" s="240">
        <v>60</v>
      </c>
      <c r="K14" s="240">
        <v>45</v>
      </c>
      <c r="L14" s="239">
        <f t="shared" si="3"/>
        <v>45</v>
      </c>
      <c r="M14" s="240">
        <v>60</v>
      </c>
      <c r="N14" s="240">
        <v>45</v>
      </c>
      <c r="O14" s="239">
        <f t="shared" si="4"/>
        <v>45</v>
      </c>
      <c r="P14" s="309">
        <f t="shared" si="5"/>
        <v>45</v>
      </c>
      <c r="Q14" s="237">
        <f t="shared" si="6"/>
        <v>3.6</v>
      </c>
      <c r="R14" s="308">
        <f t="shared" si="7"/>
        <v>0.5</v>
      </c>
      <c r="S14" s="293"/>
      <c r="T14" s="307">
        <f>P14/$P$13</f>
        <v>0.9375</v>
      </c>
      <c r="U14" s="306"/>
      <c r="V14" s="315">
        <f t="shared" si="8"/>
        <v>0.4</v>
      </c>
      <c r="W14" s="291"/>
      <c r="AG14" s="286">
        <v>200</v>
      </c>
      <c r="AH14" s="286">
        <f>AG14/400*600</f>
        <v>300</v>
      </c>
    </row>
    <row r="15" spans="1:34" x14ac:dyDescent="0.25">
      <c r="A15" s="244">
        <v>3000</v>
      </c>
      <c r="B15" s="235">
        <v>100</v>
      </c>
      <c r="C15" s="312">
        <v>1600</v>
      </c>
      <c r="D15" s="312">
        <v>300</v>
      </c>
      <c r="E15" s="311">
        <f t="shared" si="0"/>
        <v>19.2</v>
      </c>
      <c r="F15" s="310">
        <f t="shared" si="1"/>
        <v>18.97</v>
      </c>
      <c r="G15" s="240">
        <v>60</v>
      </c>
      <c r="H15" s="240">
        <v>42</v>
      </c>
      <c r="I15" s="239">
        <f t="shared" si="2"/>
        <v>42</v>
      </c>
      <c r="J15" s="240">
        <v>60</v>
      </c>
      <c r="K15" s="240">
        <v>42</v>
      </c>
      <c r="L15" s="239">
        <f t="shared" si="3"/>
        <v>42</v>
      </c>
      <c r="M15" s="240">
        <v>60</v>
      </c>
      <c r="N15" s="240">
        <v>42</v>
      </c>
      <c r="O15" s="239">
        <f t="shared" si="4"/>
        <v>42</v>
      </c>
      <c r="P15" s="309">
        <f t="shared" si="5"/>
        <v>42</v>
      </c>
      <c r="Q15" s="237">
        <f t="shared" si="6"/>
        <v>10.08</v>
      </c>
      <c r="R15" s="308">
        <f t="shared" si="7"/>
        <v>0.52500000000000002</v>
      </c>
      <c r="S15" s="293"/>
      <c r="T15" s="307">
        <f>P15/$P$13</f>
        <v>0.875</v>
      </c>
      <c r="U15" s="306"/>
      <c r="V15" s="315">
        <f t="shared" si="8"/>
        <v>0.4</v>
      </c>
      <c r="W15" s="291"/>
      <c r="AG15" s="286">
        <v>300</v>
      </c>
      <c r="AH15" s="286">
        <f>AG15/400*600</f>
        <v>450</v>
      </c>
    </row>
    <row r="16" spans="1:34" x14ac:dyDescent="0.25">
      <c r="A16" s="244">
        <v>4000</v>
      </c>
      <c r="B16" s="235">
        <v>100</v>
      </c>
      <c r="C16" s="312">
        <v>2600</v>
      </c>
      <c r="D16" s="312">
        <v>360</v>
      </c>
      <c r="E16" s="311">
        <f t="shared" si="0"/>
        <v>26</v>
      </c>
      <c r="F16" s="310">
        <f t="shared" si="1"/>
        <v>25.77</v>
      </c>
      <c r="G16" s="240">
        <v>60</v>
      </c>
      <c r="H16" s="240">
        <v>40</v>
      </c>
      <c r="I16" s="239">
        <f t="shared" si="2"/>
        <v>40</v>
      </c>
      <c r="J16" s="240">
        <v>60</v>
      </c>
      <c r="K16" s="240">
        <v>40</v>
      </c>
      <c r="L16" s="239">
        <f t="shared" si="3"/>
        <v>40</v>
      </c>
      <c r="M16" s="240">
        <v>60</v>
      </c>
      <c r="N16" s="240">
        <v>40</v>
      </c>
      <c r="O16" s="239">
        <f t="shared" si="4"/>
        <v>40</v>
      </c>
      <c r="P16" s="309">
        <f t="shared" si="5"/>
        <v>40</v>
      </c>
      <c r="Q16" s="237">
        <f t="shared" si="6"/>
        <v>12.8</v>
      </c>
      <c r="R16" s="308">
        <f t="shared" si="7"/>
        <v>0.49230769230769234</v>
      </c>
      <c r="S16" s="293"/>
      <c r="T16" s="307">
        <f>P16/$P$13</f>
        <v>0.83333333333333337</v>
      </c>
      <c r="U16" s="306"/>
      <c r="V16" s="315">
        <f t="shared" si="8"/>
        <v>0.4</v>
      </c>
      <c r="W16" s="291"/>
      <c r="AG16" s="286">
        <v>400</v>
      </c>
      <c r="AH16" s="286">
        <f>AG16/400*600</f>
        <v>600</v>
      </c>
    </row>
    <row r="17" spans="1:34" x14ac:dyDescent="0.25">
      <c r="A17" s="244">
        <v>5000</v>
      </c>
      <c r="B17" s="235">
        <v>100</v>
      </c>
      <c r="C17" s="312">
        <v>3600</v>
      </c>
      <c r="D17" s="312">
        <v>360</v>
      </c>
      <c r="E17" s="311">
        <f t="shared" si="0"/>
        <v>36</v>
      </c>
      <c r="F17" s="310">
        <f t="shared" si="1"/>
        <v>35.770000000000003</v>
      </c>
      <c r="G17" s="240">
        <v>60</v>
      </c>
      <c r="H17" s="240">
        <v>35</v>
      </c>
      <c r="I17" s="239">
        <f t="shared" si="2"/>
        <v>35</v>
      </c>
      <c r="J17" s="240">
        <v>60</v>
      </c>
      <c r="K17" s="240">
        <v>35</v>
      </c>
      <c r="L17" s="239">
        <f t="shared" si="3"/>
        <v>35</v>
      </c>
      <c r="M17" s="240">
        <v>60</v>
      </c>
      <c r="N17" s="240">
        <v>35</v>
      </c>
      <c r="O17" s="239">
        <f t="shared" si="4"/>
        <v>35</v>
      </c>
      <c r="P17" s="309">
        <f t="shared" si="5"/>
        <v>35</v>
      </c>
      <c r="Q17" s="237">
        <f t="shared" si="6"/>
        <v>14</v>
      </c>
      <c r="R17" s="308">
        <f t="shared" si="7"/>
        <v>0.3888888888888889</v>
      </c>
      <c r="S17" s="293"/>
      <c r="T17" s="307">
        <f>P17/$P$13</f>
        <v>0.72916666666666663</v>
      </c>
      <c r="U17" s="306"/>
      <c r="V17" s="315">
        <f t="shared" si="8"/>
        <v>0.4</v>
      </c>
      <c r="W17" s="291"/>
    </row>
    <row r="18" spans="1:34" x14ac:dyDescent="0.25">
      <c r="A18" s="244"/>
      <c r="B18" s="244"/>
      <c r="C18" s="312"/>
      <c r="D18" s="312"/>
      <c r="E18" s="311"/>
      <c r="F18" s="310"/>
      <c r="G18" s="240"/>
      <c r="H18" s="240"/>
      <c r="I18" s="250"/>
      <c r="J18" s="240"/>
      <c r="K18" s="240"/>
      <c r="L18" s="250"/>
      <c r="M18" s="240"/>
      <c r="N18" s="240"/>
      <c r="O18" s="250"/>
      <c r="P18" s="309"/>
      <c r="Q18" s="237"/>
      <c r="R18" s="293"/>
      <c r="S18" s="293"/>
      <c r="T18" s="307"/>
      <c r="U18" s="306"/>
      <c r="V18" s="316"/>
      <c r="W18" s="291"/>
    </row>
    <row r="19" spans="1:34" x14ac:dyDescent="0.25">
      <c r="A19" s="244">
        <f>AA11</f>
        <v>0</v>
      </c>
      <c r="B19" s="244">
        <v>200</v>
      </c>
      <c r="C19" s="312">
        <v>300</v>
      </c>
      <c r="D19" s="312">
        <v>360</v>
      </c>
      <c r="E19" s="311">
        <f t="shared" ref="E19:E24" si="9">C19/1000*3600/D19</f>
        <v>3</v>
      </c>
      <c r="F19" s="310">
        <f t="shared" ref="F19:F24" si="10">E19-$Q$7</f>
        <v>2.77</v>
      </c>
      <c r="G19" s="240">
        <v>60</v>
      </c>
      <c r="H19" s="240">
        <v>100</v>
      </c>
      <c r="I19" s="239">
        <f t="shared" ref="I19:I24" si="11">IF(AND(G19&gt;0,H19&gt;0), H19/(G19/60), 0)</f>
        <v>100</v>
      </c>
      <c r="J19" s="240">
        <v>60</v>
      </c>
      <c r="K19" s="240">
        <v>100</v>
      </c>
      <c r="L19" s="239">
        <f t="shared" ref="L19:L24" si="12">IF(AND(J19&gt;0,K19&gt;0), K19/(J19/60), 0)</f>
        <v>100</v>
      </c>
      <c r="M19" s="240">
        <v>60</v>
      </c>
      <c r="N19" s="240">
        <v>100</v>
      </c>
      <c r="O19" s="239">
        <f t="shared" ref="O19:O24" si="13">IF(AND(M19&gt;0,N19&gt;0), N19/(M19/60), 0)</f>
        <v>100</v>
      </c>
      <c r="P19" s="309">
        <f t="shared" ref="P19:P24" si="14">60*H19/G19</f>
        <v>100</v>
      </c>
      <c r="Q19" s="237">
        <f t="shared" ref="Q19:Q24" si="15">P19/100*A19/100*0.8</f>
        <v>0</v>
      </c>
      <c r="R19" s="308">
        <f t="shared" ref="R19:R24" si="16">Q19/E19</f>
        <v>0</v>
      </c>
      <c r="S19" s="293"/>
      <c r="T19" s="307"/>
      <c r="U19" s="306"/>
      <c r="V19" s="315">
        <f t="shared" ref="V19:V24" si="17">B19/AC$6</f>
        <v>0.8</v>
      </c>
      <c r="W19" s="291"/>
      <c r="X19" s="249"/>
      <c r="Y19" s="248" t="s">
        <v>391</v>
      </c>
      <c r="Z19" s="248"/>
    </row>
    <row r="20" spans="1:34" x14ac:dyDescent="0.25">
      <c r="A20" s="244">
        <v>500</v>
      </c>
      <c r="B20" s="244">
        <v>200</v>
      </c>
      <c r="C20" s="312">
        <v>650</v>
      </c>
      <c r="D20" s="312">
        <v>300</v>
      </c>
      <c r="E20" s="311">
        <f t="shared" si="9"/>
        <v>7.8</v>
      </c>
      <c r="F20" s="310">
        <f t="shared" si="10"/>
        <v>7.57</v>
      </c>
      <c r="G20" s="240">
        <v>60</v>
      </c>
      <c r="H20" s="240">
        <v>95</v>
      </c>
      <c r="I20" s="239">
        <f t="shared" si="11"/>
        <v>95</v>
      </c>
      <c r="J20" s="240">
        <v>60</v>
      </c>
      <c r="K20" s="240">
        <v>95</v>
      </c>
      <c r="L20" s="239">
        <f t="shared" si="12"/>
        <v>95</v>
      </c>
      <c r="M20" s="240">
        <v>60</v>
      </c>
      <c r="N20" s="240">
        <v>95</v>
      </c>
      <c r="O20" s="239">
        <f t="shared" si="13"/>
        <v>95</v>
      </c>
      <c r="P20" s="309">
        <f t="shared" si="14"/>
        <v>95</v>
      </c>
      <c r="Q20" s="237">
        <f t="shared" si="15"/>
        <v>3.8000000000000003</v>
      </c>
      <c r="R20" s="308">
        <f t="shared" si="16"/>
        <v>0.48717948717948723</v>
      </c>
      <c r="S20" s="293"/>
      <c r="T20" s="307">
        <f>P20/$P$20</f>
        <v>1</v>
      </c>
      <c r="U20" s="306"/>
      <c r="V20" s="315">
        <f t="shared" si="17"/>
        <v>0.8</v>
      </c>
      <c r="W20" s="291"/>
      <c r="Y20" s="207" t="s">
        <v>392</v>
      </c>
      <c r="AG20" s="286">
        <v>100</v>
      </c>
      <c r="AH20" s="286">
        <f>AG20/400*600</f>
        <v>150</v>
      </c>
    </row>
    <row r="21" spans="1:34" x14ac:dyDescent="0.25">
      <c r="A21" s="244">
        <v>1000</v>
      </c>
      <c r="B21" s="244">
        <v>200</v>
      </c>
      <c r="C21" s="312">
        <v>1100</v>
      </c>
      <c r="D21" s="312">
        <v>300</v>
      </c>
      <c r="E21" s="311">
        <f t="shared" si="9"/>
        <v>13.200000000000001</v>
      </c>
      <c r="F21" s="310">
        <f t="shared" si="10"/>
        <v>12.97</v>
      </c>
      <c r="G21" s="240">
        <v>60</v>
      </c>
      <c r="H21" s="240">
        <v>90</v>
      </c>
      <c r="I21" s="239">
        <f t="shared" si="11"/>
        <v>90</v>
      </c>
      <c r="J21" s="240">
        <v>60</v>
      </c>
      <c r="K21" s="240">
        <v>90</v>
      </c>
      <c r="L21" s="239">
        <f t="shared" si="12"/>
        <v>90</v>
      </c>
      <c r="M21" s="240">
        <v>60</v>
      </c>
      <c r="N21" s="240">
        <v>90</v>
      </c>
      <c r="O21" s="239">
        <f t="shared" si="13"/>
        <v>90</v>
      </c>
      <c r="P21" s="309">
        <f t="shared" si="14"/>
        <v>90</v>
      </c>
      <c r="Q21" s="237">
        <f t="shared" si="15"/>
        <v>7.2</v>
      </c>
      <c r="R21" s="308">
        <f t="shared" si="16"/>
        <v>0.54545454545454541</v>
      </c>
      <c r="S21" s="293"/>
      <c r="T21" s="307">
        <f>P21/$P$20</f>
        <v>0.94736842105263153</v>
      </c>
      <c r="U21" s="306"/>
      <c r="V21" s="315">
        <f t="shared" si="17"/>
        <v>0.8</v>
      </c>
      <c r="W21" s="291"/>
      <c r="AG21" s="286">
        <v>200</v>
      </c>
      <c r="AH21" s="286">
        <f>AG21/400*600</f>
        <v>300</v>
      </c>
    </row>
    <row r="22" spans="1:34" x14ac:dyDescent="0.25">
      <c r="A22" s="244">
        <v>3000</v>
      </c>
      <c r="B22" s="244">
        <v>200</v>
      </c>
      <c r="C22" s="312">
        <v>3500</v>
      </c>
      <c r="D22" s="312">
        <v>300</v>
      </c>
      <c r="E22" s="311">
        <f t="shared" si="9"/>
        <v>42</v>
      </c>
      <c r="F22" s="310">
        <f t="shared" si="10"/>
        <v>41.77</v>
      </c>
      <c r="G22" s="240">
        <v>60</v>
      </c>
      <c r="H22" s="240">
        <v>80</v>
      </c>
      <c r="I22" s="239">
        <f t="shared" si="11"/>
        <v>80</v>
      </c>
      <c r="J22" s="240">
        <v>60</v>
      </c>
      <c r="K22" s="240">
        <v>79</v>
      </c>
      <c r="L22" s="239">
        <f t="shared" si="12"/>
        <v>79</v>
      </c>
      <c r="M22" s="240">
        <v>60</v>
      </c>
      <c r="N22" s="240">
        <v>78</v>
      </c>
      <c r="O22" s="239">
        <f t="shared" si="13"/>
        <v>78</v>
      </c>
      <c r="P22" s="309">
        <f t="shared" si="14"/>
        <v>80</v>
      </c>
      <c r="Q22" s="237">
        <f t="shared" si="15"/>
        <v>19.200000000000003</v>
      </c>
      <c r="R22" s="308">
        <f t="shared" si="16"/>
        <v>0.45714285714285718</v>
      </c>
      <c r="S22" s="293"/>
      <c r="T22" s="307">
        <f>P22/$P$20</f>
        <v>0.84210526315789469</v>
      </c>
      <c r="U22" s="306"/>
      <c r="V22" s="315">
        <f t="shared" si="17"/>
        <v>0.8</v>
      </c>
      <c r="W22" s="291"/>
      <c r="AG22" s="286">
        <v>300</v>
      </c>
      <c r="AH22" s="286">
        <f>AG22/400*600</f>
        <v>450</v>
      </c>
    </row>
    <row r="23" spans="1:34" x14ac:dyDescent="0.25">
      <c r="A23" s="244">
        <v>4000</v>
      </c>
      <c r="B23" s="244">
        <v>200</v>
      </c>
      <c r="C23" s="312">
        <v>4900</v>
      </c>
      <c r="D23" s="312">
        <v>300</v>
      </c>
      <c r="E23" s="311">
        <f t="shared" si="9"/>
        <v>58.8</v>
      </c>
      <c r="F23" s="310">
        <f t="shared" si="10"/>
        <v>58.57</v>
      </c>
      <c r="G23" s="240">
        <v>60</v>
      </c>
      <c r="H23" s="240">
        <v>75</v>
      </c>
      <c r="I23" s="239">
        <f t="shared" si="11"/>
        <v>75</v>
      </c>
      <c r="J23" s="240">
        <v>60</v>
      </c>
      <c r="K23" s="240">
        <v>75</v>
      </c>
      <c r="L23" s="239">
        <f t="shared" si="12"/>
        <v>75</v>
      </c>
      <c r="M23" s="240">
        <v>60</v>
      </c>
      <c r="N23" s="240">
        <v>75</v>
      </c>
      <c r="O23" s="239">
        <f t="shared" si="13"/>
        <v>75</v>
      </c>
      <c r="P23" s="309">
        <f t="shared" si="14"/>
        <v>75</v>
      </c>
      <c r="Q23" s="237">
        <f t="shared" si="15"/>
        <v>24</v>
      </c>
      <c r="R23" s="308">
        <f t="shared" si="16"/>
        <v>0.40816326530612246</v>
      </c>
      <c r="S23" s="293"/>
      <c r="T23" s="307">
        <f>P23/$P$20</f>
        <v>0.78947368421052633</v>
      </c>
      <c r="U23" s="306"/>
      <c r="V23" s="315">
        <f t="shared" si="17"/>
        <v>0.8</v>
      </c>
      <c r="W23" s="291"/>
      <c r="AG23" s="286">
        <v>400</v>
      </c>
      <c r="AH23" s="286">
        <f>AG23/400*600</f>
        <v>600</v>
      </c>
    </row>
    <row r="24" spans="1:34" x14ac:dyDescent="0.25">
      <c r="A24" s="244">
        <v>5000</v>
      </c>
      <c r="B24" s="244">
        <v>200</v>
      </c>
      <c r="C24" s="312">
        <v>6600</v>
      </c>
      <c r="D24" s="312">
        <v>300</v>
      </c>
      <c r="E24" s="311">
        <f t="shared" si="9"/>
        <v>79.2</v>
      </c>
      <c r="F24" s="310">
        <f t="shared" si="10"/>
        <v>78.97</v>
      </c>
      <c r="G24" s="240">
        <v>60</v>
      </c>
      <c r="H24" s="240">
        <v>70</v>
      </c>
      <c r="I24" s="239">
        <f t="shared" si="11"/>
        <v>70</v>
      </c>
      <c r="J24" s="240">
        <v>60</v>
      </c>
      <c r="K24" s="240">
        <v>70</v>
      </c>
      <c r="L24" s="239">
        <f t="shared" si="12"/>
        <v>70</v>
      </c>
      <c r="M24" s="240">
        <v>60</v>
      </c>
      <c r="N24" s="240">
        <v>70</v>
      </c>
      <c r="O24" s="239">
        <f t="shared" si="13"/>
        <v>70</v>
      </c>
      <c r="P24" s="309">
        <f t="shared" si="14"/>
        <v>70</v>
      </c>
      <c r="Q24" s="237">
        <f t="shared" si="15"/>
        <v>28</v>
      </c>
      <c r="R24" s="308">
        <f t="shared" si="16"/>
        <v>0.35353535353535354</v>
      </c>
      <c r="S24" s="293"/>
      <c r="T24" s="307">
        <f>P24/$P$20</f>
        <v>0.73684210526315785</v>
      </c>
      <c r="U24" s="306"/>
      <c r="V24" s="315">
        <f t="shared" si="17"/>
        <v>0.8</v>
      </c>
      <c r="W24" s="291"/>
    </row>
    <row r="25" spans="1:34" x14ac:dyDescent="0.25">
      <c r="A25" s="235"/>
      <c r="B25" s="235"/>
      <c r="C25" s="312"/>
      <c r="D25" s="312"/>
      <c r="E25" s="311"/>
      <c r="F25" s="310"/>
      <c r="G25" s="240"/>
      <c r="H25" s="240"/>
      <c r="I25" s="250"/>
      <c r="J25" s="240"/>
      <c r="K25" s="240"/>
      <c r="L25" s="250"/>
      <c r="M25" s="240"/>
      <c r="N25" s="240"/>
      <c r="O25" s="250"/>
      <c r="P25" s="309"/>
      <c r="Q25" s="237"/>
      <c r="R25" s="293"/>
      <c r="S25" s="293"/>
      <c r="T25" s="307"/>
      <c r="U25" s="306"/>
      <c r="V25" s="291"/>
      <c r="W25" s="291"/>
    </row>
    <row r="26" spans="1:34" x14ac:dyDescent="0.25">
      <c r="A26" s="244">
        <f>AA18</f>
        <v>0</v>
      </c>
      <c r="B26" s="235">
        <f t="shared" ref="B26:B31" si="18">Z$6</f>
        <v>400</v>
      </c>
      <c r="C26" s="312">
        <v>700</v>
      </c>
      <c r="D26" s="312">
        <v>330</v>
      </c>
      <c r="E26" s="311">
        <f t="shared" ref="E26:E31" si="19">C26/1000*3600/D26</f>
        <v>7.6363636363636367</v>
      </c>
      <c r="F26" s="310">
        <f t="shared" ref="F26:F31" si="20">E26-$Q$7</f>
        <v>7.4063636363636363</v>
      </c>
      <c r="G26" s="240">
        <v>60</v>
      </c>
      <c r="H26" s="240">
        <v>190</v>
      </c>
      <c r="I26" s="239">
        <f t="shared" ref="I26:I31" si="21">IF(AND(G26&gt;0,H26&gt;0), H26/(G26/60)*sg_corr_factor, 0)</f>
        <v>192.02393060298451</v>
      </c>
      <c r="J26" s="240">
        <v>60</v>
      </c>
      <c r="K26" s="240">
        <v>190</v>
      </c>
      <c r="L26" s="239">
        <f t="shared" ref="L26:L31" si="22">IF(AND(J26&gt;0,K26&gt;0), K26/(J26/60)*sg_corr_factor, 0)</f>
        <v>192.02393060298451</v>
      </c>
      <c r="M26" s="240">
        <v>60</v>
      </c>
      <c r="N26" s="240">
        <v>190</v>
      </c>
      <c r="O26" s="239">
        <f t="shared" ref="O26:O31" si="23">IF(AND(M26&gt;0,N26&gt;0), N26/(M26/60)*sg_corr_factor, 0)</f>
        <v>192.02393060298451</v>
      </c>
      <c r="P26" s="309">
        <f t="shared" ref="P26:P31" si="24">60*H26/G26</f>
        <v>190</v>
      </c>
      <c r="Q26" s="237">
        <f t="shared" ref="Q26:Q31" si="25">P26/100*A26/100*0.8</f>
        <v>0</v>
      </c>
      <c r="R26" s="308">
        <f t="shared" ref="R26:R31" si="26">Q26/E26</f>
        <v>0</v>
      </c>
      <c r="S26" s="293"/>
      <c r="T26" s="307"/>
      <c r="U26" s="306"/>
      <c r="V26" s="291"/>
      <c r="W26" s="291"/>
      <c r="X26" s="249"/>
      <c r="Y26" s="248" t="s">
        <v>391</v>
      </c>
      <c r="Z26" s="248"/>
    </row>
    <row r="27" spans="1:34" x14ac:dyDescent="0.25">
      <c r="A27" s="244">
        <v>500</v>
      </c>
      <c r="B27" s="235">
        <f t="shared" si="18"/>
        <v>400</v>
      </c>
      <c r="C27" s="312">
        <v>1700</v>
      </c>
      <c r="D27" s="312">
        <v>310</v>
      </c>
      <c r="E27" s="311">
        <f t="shared" si="19"/>
        <v>19.741935483870968</v>
      </c>
      <c r="F27" s="310">
        <f t="shared" si="20"/>
        <v>19.511935483870968</v>
      </c>
      <c r="G27" s="240">
        <v>60</v>
      </c>
      <c r="H27" s="240">
        <v>182</v>
      </c>
      <c r="I27" s="239">
        <f t="shared" si="21"/>
        <v>183.93871247233253</v>
      </c>
      <c r="J27" s="240">
        <v>60</v>
      </c>
      <c r="K27" s="240">
        <v>182</v>
      </c>
      <c r="L27" s="239">
        <f t="shared" si="22"/>
        <v>183.93871247233253</v>
      </c>
      <c r="M27" s="240">
        <v>60</v>
      </c>
      <c r="N27" s="240">
        <v>182</v>
      </c>
      <c r="O27" s="239">
        <f t="shared" si="23"/>
        <v>183.93871247233253</v>
      </c>
      <c r="P27" s="309">
        <f t="shared" si="24"/>
        <v>182</v>
      </c>
      <c r="Q27" s="237">
        <f t="shared" si="25"/>
        <v>7.28</v>
      </c>
      <c r="R27" s="308">
        <f t="shared" si="26"/>
        <v>0.36875816993464056</v>
      </c>
      <c r="S27" s="293"/>
      <c r="T27" s="307">
        <f>P27/$P$27</f>
        <v>1</v>
      </c>
      <c r="U27" s="306"/>
      <c r="V27" s="291"/>
      <c r="W27" s="291"/>
      <c r="AG27" s="286">
        <v>100</v>
      </c>
      <c r="AH27" s="286">
        <f>AG27/400*600</f>
        <v>150</v>
      </c>
    </row>
    <row r="28" spans="1:34" x14ac:dyDescent="0.25">
      <c r="A28" s="244">
        <v>1000</v>
      </c>
      <c r="B28" s="235">
        <f t="shared" si="18"/>
        <v>400</v>
      </c>
      <c r="C28" s="312">
        <v>2400</v>
      </c>
      <c r="D28" s="312">
        <v>310</v>
      </c>
      <c r="E28" s="311">
        <f t="shared" si="19"/>
        <v>27.870967741935484</v>
      </c>
      <c r="F28" s="310">
        <f t="shared" si="20"/>
        <v>27.640967741935484</v>
      </c>
      <c r="G28" s="240">
        <v>60</v>
      </c>
      <c r="H28" s="240">
        <v>178</v>
      </c>
      <c r="I28" s="239">
        <f t="shared" si="21"/>
        <v>179.89610340700654</v>
      </c>
      <c r="J28" s="240">
        <v>60</v>
      </c>
      <c r="K28" s="240">
        <v>178</v>
      </c>
      <c r="L28" s="239">
        <f t="shared" si="22"/>
        <v>179.89610340700654</v>
      </c>
      <c r="M28" s="240">
        <v>60</v>
      </c>
      <c r="N28" s="240">
        <v>178</v>
      </c>
      <c r="O28" s="239">
        <f t="shared" si="23"/>
        <v>179.89610340700654</v>
      </c>
      <c r="P28" s="309">
        <f t="shared" si="24"/>
        <v>178</v>
      </c>
      <c r="Q28" s="237">
        <f t="shared" si="25"/>
        <v>14.240000000000002</v>
      </c>
      <c r="R28" s="308">
        <f t="shared" si="26"/>
        <v>0.51092592592592601</v>
      </c>
      <c r="S28" s="293"/>
      <c r="T28" s="307">
        <f>P28/$P$27</f>
        <v>0.97802197802197799</v>
      </c>
      <c r="U28" s="306"/>
      <c r="V28" s="291"/>
      <c r="W28" s="291"/>
      <c r="AG28" s="286">
        <v>200</v>
      </c>
      <c r="AH28" s="286">
        <f>AG28/400*600</f>
        <v>300</v>
      </c>
    </row>
    <row r="29" spans="1:34" x14ac:dyDescent="0.25">
      <c r="A29" s="244">
        <v>3000</v>
      </c>
      <c r="B29" s="235">
        <f t="shared" si="18"/>
        <v>400</v>
      </c>
      <c r="C29" s="312">
        <v>6000</v>
      </c>
      <c r="D29" s="312">
        <v>330</v>
      </c>
      <c r="E29" s="311">
        <f t="shared" si="19"/>
        <v>65.454545454545453</v>
      </c>
      <c r="F29" s="310">
        <f t="shared" si="20"/>
        <v>65.224545454545449</v>
      </c>
      <c r="G29" s="240">
        <v>60</v>
      </c>
      <c r="H29" s="240">
        <v>160</v>
      </c>
      <c r="I29" s="239">
        <f t="shared" si="21"/>
        <v>161.70436261303959</v>
      </c>
      <c r="J29" s="240">
        <v>60</v>
      </c>
      <c r="K29" s="240">
        <v>160</v>
      </c>
      <c r="L29" s="239">
        <f t="shared" si="22"/>
        <v>161.70436261303959</v>
      </c>
      <c r="M29" s="240">
        <v>60</v>
      </c>
      <c r="N29" s="240">
        <v>160</v>
      </c>
      <c r="O29" s="239">
        <f t="shared" si="23"/>
        <v>161.70436261303959</v>
      </c>
      <c r="P29" s="309">
        <f t="shared" si="24"/>
        <v>160</v>
      </c>
      <c r="Q29" s="237">
        <f t="shared" si="25"/>
        <v>38.400000000000006</v>
      </c>
      <c r="R29" s="308">
        <f t="shared" si="26"/>
        <v>0.58666666666666678</v>
      </c>
      <c r="S29" s="293"/>
      <c r="T29" s="307">
        <f>P29/$P$27</f>
        <v>0.87912087912087911</v>
      </c>
      <c r="U29" s="306"/>
      <c r="V29" s="291"/>
      <c r="W29" s="291"/>
      <c r="AG29" s="286">
        <v>300</v>
      </c>
      <c r="AH29" s="286">
        <f>AG29/400*600</f>
        <v>450</v>
      </c>
    </row>
    <row r="30" spans="1:34" x14ac:dyDescent="0.25">
      <c r="A30" s="244">
        <v>4000</v>
      </c>
      <c r="B30" s="235">
        <f t="shared" si="18"/>
        <v>400</v>
      </c>
      <c r="C30" s="312">
        <v>9200</v>
      </c>
      <c r="D30" s="312">
        <v>390</v>
      </c>
      <c r="E30" s="311">
        <f t="shared" si="19"/>
        <v>84.92307692307692</v>
      </c>
      <c r="F30" s="310">
        <f t="shared" si="20"/>
        <v>84.693076923076916</v>
      </c>
      <c r="G30" s="240">
        <v>60</v>
      </c>
      <c r="H30" s="240">
        <v>151</v>
      </c>
      <c r="I30" s="239">
        <f t="shared" si="21"/>
        <v>152.60849221605611</v>
      </c>
      <c r="J30" s="240">
        <v>60</v>
      </c>
      <c r="K30" s="240">
        <v>151</v>
      </c>
      <c r="L30" s="239">
        <f t="shared" si="22"/>
        <v>152.60849221605611</v>
      </c>
      <c r="M30" s="240">
        <v>60</v>
      </c>
      <c r="N30" s="240">
        <v>151</v>
      </c>
      <c r="O30" s="239">
        <f t="shared" si="23"/>
        <v>152.60849221605611</v>
      </c>
      <c r="P30" s="309">
        <f t="shared" si="24"/>
        <v>151</v>
      </c>
      <c r="Q30" s="237">
        <f t="shared" si="25"/>
        <v>48.32</v>
      </c>
      <c r="R30" s="308">
        <f t="shared" si="26"/>
        <v>0.56898550724637686</v>
      </c>
      <c r="S30" s="293"/>
      <c r="T30" s="307">
        <f>P30/$P$27</f>
        <v>0.82967032967032972</v>
      </c>
      <c r="U30" s="306"/>
      <c r="V30" s="291"/>
      <c r="W30" s="291"/>
      <c r="AG30" s="286">
        <v>400</v>
      </c>
      <c r="AH30" s="286">
        <f>AG30/400*600</f>
        <v>600</v>
      </c>
    </row>
    <row r="31" spans="1:34" x14ac:dyDescent="0.25">
      <c r="A31" s="244">
        <v>5000</v>
      </c>
      <c r="B31" s="235">
        <f t="shared" si="18"/>
        <v>400</v>
      </c>
      <c r="C31" s="312">
        <v>12300</v>
      </c>
      <c r="D31" s="312">
        <v>420</v>
      </c>
      <c r="E31" s="311">
        <f t="shared" si="19"/>
        <v>105.42857142857143</v>
      </c>
      <c r="F31" s="310">
        <f t="shared" si="20"/>
        <v>105.19857142857143</v>
      </c>
      <c r="G31" s="240">
        <v>60</v>
      </c>
      <c r="H31" s="240">
        <v>140</v>
      </c>
      <c r="I31" s="239">
        <f t="shared" si="21"/>
        <v>141.49131728640964</v>
      </c>
      <c r="J31" s="240">
        <v>60</v>
      </c>
      <c r="K31" s="240">
        <v>140</v>
      </c>
      <c r="L31" s="239">
        <f t="shared" si="22"/>
        <v>141.49131728640964</v>
      </c>
      <c r="M31" s="240">
        <v>60</v>
      </c>
      <c r="N31" s="240">
        <v>140</v>
      </c>
      <c r="O31" s="239">
        <f t="shared" si="23"/>
        <v>141.49131728640964</v>
      </c>
      <c r="P31" s="309">
        <f t="shared" si="24"/>
        <v>140</v>
      </c>
      <c r="Q31" s="237">
        <f t="shared" si="25"/>
        <v>56</v>
      </c>
      <c r="R31" s="308">
        <f t="shared" si="26"/>
        <v>0.53116531165311653</v>
      </c>
      <c r="S31" s="293"/>
      <c r="T31" s="307">
        <f>P31/$P$27</f>
        <v>0.76923076923076927</v>
      </c>
      <c r="U31" s="306"/>
      <c r="V31" s="291"/>
      <c r="W31" s="291"/>
    </row>
    <row r="32" spans="1:34" x14ac:dyDescent="0.25">
      <c r="A32" s="244"/>
      <c r="B32" s="235"/>
      <c r="C32" s="312"/>
      <c r="D32" s="312"/>
      <c r="E32" s="311"/>
      <c r="F32" s="310"/>
      <c r="G32" s="240"/>
      <c r="H32" s="240"/>
      <c r="I32" s="250"/>
      <c r="J32" s="240"/>
      <c r="K32" s="240"/>
      <c r="L32" s="250"/>
      <c r="M32" s="240"/>
      <c r="N32" s="240"/>
      <c r="O32" s="250"/>
      <c r="P32" s="309"/>
      <c r="Q32" s="237"/>
      <c r="R32" s="293"/>
      <c r="S32" s="293"/>
      <c r="T32" s="307"/>
      <c r="U32" s="306"/>
      <c r="V32" s="291"/>
      <c r="W32" s="291"/>
    </row>
    <row r="33" spans="1:43" x14ac:dyDescent="0.25">
      <c r="A33" s="244">
        <f>AA25</f>
        <v>0</v>
      </c>
      <c r="B33" s="235">
        <f t="shared" ref="B33:B38" si="27">Z$7</f>
        <v>600</v>
      </c>
      <c r="C33" s="312">
        <v>1200</v>
      </c>
      <c r="D33" s="312">
        <v>330</v>
      </c>
      <c r="E33" s="311">
        <f t="shared" ref="E33:E38" si="28">C33/1000*3600/D33</f>
        <v>13.090909090909092</v>
      </c>
      <c r="F33" s="310">
        <f t="shared" ref="F33:F38" si="29">E33-$Q$7</f>
        <v>12.860909090909091</v>
      </c>
      <c r="G33" s="240">
        <v>60</v>
      </c>
      <c r="H33" s="240">
        <v>290</v>
      </c>
      <c r="I33" s="239">
        <f t="shared" ref="I33:I38" si="30">IF(AND(G33&gt;0,H33&gt;0), H33/(G33/60)*sg_corr_factor, 0)</f>
        <v>293.08915723613427</v>
      </c>
      <c r="J33" s="240">
        <v>60</v>
      </c>
      <c r="K33" s="240">
        <v>290</v>
      </c>
      <c r="L33" s="239">
        <f t="shared" ref="L33:L38" si="31">IF(AND(J33&gt;0,K33&gt;0), K33/(J33/60)*sg_corr_factor, 0)</f>
        <v>293.08915723613427</v>
      </c>
      <c r="M33" s="240">
        <v>60</v>
      </c>
      <c r="N33" s="240">
        <v>290</v>
      </c>
      <c r="O33" s="239">
        <f t="shared" ref="O33:O38" si="32">IF(AND(M33&gt;0,N33&gt;0), N33/(M33/60)*sg_corr_factor, 0)</f>
        <v>293.08915723613427</v>
      </c>
      <c r="P33" s="309">
        <f t="shared" ref="P33:P38" si="33">AVERAGE(I33,L33,O33)</f>
        <v>293.08915723613427</v>
      </c>
      <c r="Q33" s="237">
        <f t="shared" ref="Q33:Q38" si="34">P33/100*A33/100*0.8</f>
        <v>0</v>
      </c>
      <c r="R33" s="308">
        <f t="shared" ref="R33:R38" si="35">Q33/E33</f>
        <v>0</v>
      </c>
      <c r="S33" s="293"/>
      <c r="T33" s="307"/>
      <c r="U33" s="306"/>
      <c r="V33" s="291"/>
      <c r="W33" s="291"/>
      <c r="X33" s="249"/>
      <c r="Y33" s="288" t="s">
        <v>393</v>
      </c>
      <c r="Z33" s="248"/>
    </row>
    <row r="34" spans="1:43" x14ac:dyDescent="0.25">
      <c r="A34" s="244">
        <v>500</v>
      </c>
      <c r="B34" s="235">
        <f t="shared" si="27"/>
        <v>600</v>
      </c>
      <c r="C34" s="312">
        <v>3200</v>
      </c>
      <c r="D34" s="312">
        <v>425</v>
      </c>
      <c r="E34" s="311">
        <f t="shared" si="28"/>
        <v>27.105882352941176</v>
      </c>
      <c r="F34" s="310">
        <f t="shared" si="29"/>
        <v>26.875882352941176</v>
      </c>
      <c r="G34" s="240">
        <v>60</v>
      </c>
      <c r="H34" s="240">
        <v>275</v>
      </c>
      <c r="I34" s="239">
        <f t="shared" si="30"/>
        <v>277.92937324116178</v>
      </c>
      <c r="J34" s="240">
        <v>60</v>
      </c>
      <c r="K34" s="240">
        <v>275</v>
      </c>
      <c r="L34" s="239">
        <f t="shared" si="31"/>
        <v>277.92937324116178</v>
      </c>
      <c r="M34" s="240">
        <v>60</v>
      </c>
      <c r="N34" s="240">
        <v>275</v>
      </c>
      <c r="O34" s="239">
        <f t="shared" si="32"/>
        <v>277.92937324116178</v>
      </c>
      <c r="P34" s="309">
        <f t="shared" si="33"/>
        <v>277.92937324116178</v>
      </c>
      <c r="Q34" s="237">
        <f t="shared" si="34"/>
        <v>11.117174929646472</v>
      </c>
      <c r="R34" s="308">
        <f t="shared" si="35"/>
        <v>0.41013883203990892</v>
      </c>
      <c r="S34" s="293"/>
      <c r="T34" s="307">
        <f>P34/$P$34</f>
        <v>1</v>
      </c>
      <c r="U34" s="306"/>
      <c r="V34" s="291"/>
      <c r="W34" s="291"/>
      <c r="AG34" s="286">
        <v>100</v>
      </c>
      <c r="AH34" s="286">
        <f>AG34/400*600</f>
        <v>150</v>
      </c>
      <c r="AQ34" s="286" t="s">
        <v>406</v>
      </c>
    </row>
    <row r="35" spans="1:43" x14ac:dyDescent="0.25">
      <c r="A35" s="244">
        <v>1000</v>
      </c>
      <c r="B35" s="235">
        <f t="shared" si="27"/>
        <v>600</v>
      </c>
      <c r="C35" s="312">
        <v>4600</v>
      </c>
      <c r="D35" s="312">
        <v>420</v>
      </c>
      <c r="E35" s="311">
        <f t="shared" si="28"/>
        <v>39.428571428571431</v>
      </c>
      <c r="F35" s="310">
        <f t="shared" si="29"/>
        <v>39.198571428571434</v>
      </c>
      <c r="G35" s="240">
        <v>60</v>
      </c>
      <c r="H35" s="240">
        <v>260</v>
      </c>
      <c r="I35" s="239">
        <f t="shared" si="30"/>
        <v>262.7695892461893</v>
      </c>
      <c r="J35" s="240">
        <v>60</v>
      </c>
      <c r="K35" s="240">
        <v>260</v>
      </c>
      <c r="L35" s="239">
        <f t="shared" si="31"/>
        <v>262.7695892461893</v>
      </c>
      <c r="M35" s="240">
        <v>60</v>
      </c>
      <c r="N35" s="240">
        <v>260</v>
      </c>
      <c r="O35" s="239">
        <f t="shared" si="32"/>
        <v>262.7695892461893</v>
      </c>
      <c r="P35" s="309">
        <f t="shared" si="33"/>
        <v>262.7695892461893</v>
      </c>
      <c r="Q35" s="237">
        <f t="shared" si="34"/>
        <v>21.021567139695147</v>
      </c>
      <c r="R35" s="308">
        <f t="shared" si="35"/>
        <v>0.53315568832560156</v>
      </c>
      <c r="S35" s="293"/>
      <c r="T35" s="307">
        <f>P35/$P$34</f>
        <v>0.94545454545454533</v>
      </c>
      <c r="U35" s="306"/>
      <c r="V35" s="291"/>
      <c r="W35" s="291"/>
      <c r="AG35" s="286">
        <v>200</v>
      </c>
      <c r="AH35" s="286">
        <f>AG35/400*600</f>
        <v>300</v>
      </c>
    </row>
    <row r="36" spans="1:43" x14ac:dyDescent="0.25">
      <c r="A36" s="244">
        <v>3000</v>
      </c>
      <c r="B36" s="235">
        <f t="shared" si="27"/>
        <v>600</v>
      </c>
      <c r="C36" s="312">
        <v>7700</v>
      </c>
      <c r="D36" s="312">
        <v>310</v>
      </c>
      <c r="E36" s="311">
        <f t="shared" si="28"/>
        <v>89.41935483870968</v>
      </c>
      <c r="F36" s="310">
        <f t="shared" si="29"/>
        <v>89.189354838709676</v>
      </c>
      <c r="G36" s="240">
        <v>60</v>
      </c>
      <c r="H36" s="240">
        <v>235</v>
      </c>
      <c r="I36" s="239">
        <f t="shared" si="30"/>
        <v>237.50328258790188</v>
      </c>
      <c r="J36" s="240">
        <v>60</v>
      </c>
      <c r="K36" s="240">
        <v>235</v>
      </c>
      <c r="L36" s="239">
        <f t="shared" si="31"/>
        <v>237.50328258790188</v>
      </c>
      <c r="M36" s="240">
        <v>60</v>
      </c>
      <c r="N36" s="240">
        <v>235</v>
      </c>
      <c r="O36" s="239">
        <f t="shared" si="32"/>
        <v>237.50328258790188</v>
      </c>
      <c r="P36" s="309">
        <f t="shared" si="33"/>
        <v>237.50328258790191</v>
      </c>
      <c r="Q36" s="237">
        <f t="shared" si="34"/>
        <v>57.000787821096459</v>
      </c>
      <c r="R36" s="308">
        <f t="shared" si="35"/>
        <v>0.63745469785497477</v>
      </c>
      <c r="S36" s="293"/>
      <c r="T36" s="307">
        <f>P36/$P$34</f>
        <v>0.85454545454545461</v>
      </c>
      <c r="U36" s="306"/>
      <c r="V36" s="291"/>
      <c r="W36" s="291"/>
      <c r="AG36" s="286">
        <v>300</v>
      </c>
      <c r="AH36" s="286">
        <f>AG36/400*600</f>
        <v>450</v>
      </c>
    </row>
    <row r="37" spans="1:43" x14ac:dyDescent="0.25">
      <c r="A37" s="244">
        <v>4000</v>
      </c>
      <c r="B37" s="235">
        <f t="shared" si="27"/>
        <v>600</v>
      </c>
      <c r="C37" s="312">
        <v>19100</v>
      </c>
      <c r="D37" s="312">
        <v>610</v>
      </c>
      <c r="E37" s="311">
        <f t="shared" si="28"/>
        <v>112.72131147540983</v>
      </c>
      <c r="F37" s="310">
        <f t="shared" si="29"/>
        <v>112.49131147540983</v>
      </c>
      <c r="G37" s="240">
        <v>60</v>
      </c>
      <c r="H37" s="240">
        <v>225</v>
      </c>
      <c r="I37" s="239">
        <f t="shared" si="30"/>
        <v>227.39675992458692</v>
      </c>
      <c r="J37" s="240">
        <v>60</v>
      </c>
      <c r="K37" s="240">
        <v>225</v>
      </c>
      <c r="L37" s="239">
        <f t="shared" si="31"/>
        <v>227.39675992458692</v>
      </c>
      <c r="M37" s="240">
        <v>60</v>
      </c>
      <c r="N37" s="240">
        <v>225</v>
      </c>
      <c r="O37" s="239">
        <f t="shared" si="32"/>
        <v>227.39675992458692</v>
      </c>
      <c r="P37" s="309">
        <f t="shared" si="33"/>
        <v>227.39675992458692</v>
      </c>
      <c r="Q37" s="237">
        <f t="shared" si="34"/>
        <v>72.766963175867815</v>
      </c>
      <c r="R37" s="308">
        <f t="shared" si="35"/>
        <v>0.64554752090284129</v>
      </c>
      <c r="S37" s="293"/>
      <c r="T37" s="307">
        <f>P37/$P$34</f>
        <v>0.81818181818181823</v>
      </c>
      <c r="U37" s="306"/>
      <c r="V37" s="291"/>
      <c r="W37" s="291"/>
      <c r="AG37" s="286">
        <v>400</v>
      </c>
      <c r="AH37" s="286">
        <f>AG37/400*600</f>
        <v>600</v>
      </c>
    </row>
    <row r="38" spans="1:43" x14ac:dyDescent="0.25">
      <c r="A38" s="244">
        <v>5000</v>
      </c>
      <c r="B38" s="235">
        <f t="shared" si="27"/>
        <v>600</v>
      </c>
      <c r="C38" s="312">
        <v>22900</v>
      </c>
      <c r="D38" s="312">
        <v>600</v>
      </c>
      <c r="E38" s="311">
        <f t="shared" si="28"/>
        <v>137.4</v>
      </c>
      <c r="F38" s="310">
        <f t="shared" si="29"/>
        <v>137.17000000000002</v>
      </c>
      <c r="G38" s="240">
        <v>60</v>
      </c>
      <c r="H38" s="240">
        <v>210</v>
      </c>
      <c r="I38" s="239">
        <f t="shared" si="30"/>
        <v>212.23697592961446</v>
      </c>
      <c r="J38" s="240">
        <v>60</v>
      </c>
      <c r="K38" s="240">
        <v>210</v>
      </c>
      <c r="L38" s="239">
        <f t="shared" si="31"/>
        <v>212.23697592961446</v>
      </c>
      <c r="M38" s="240">
        <v>60</v>
      </c>
      <c r="N38" s="240">
        <v>210</v>
      </c>
      <c r="O38" s="239">
        <f t="shared" si="32"/>
        <v>212.23697592961446</v>
      </c>
      <c r="P38" s="309">
        <f t="shared" si="33"/>
        <v>212.23697592961446</v>
      </c>
      <c r="Q38" s="237">
        <f t="shared" si="34"/>
        <v>84.894790371845787</v>
      </c>
      <c r="R38" s="308">
        <f t="shared" si="35"/>
        <v>0.61786601435113375</v>
      </c>
      <c r="S38" s="293"/>
      <c r="T38" s="307">
        <f>P38/$P$34</f>
        <v>0.76363636363636367</v>
      </c>
      <c r="U38" s="306"/>
      <c r="V38" s="291"/>
      <c r="W38" s="291"/>
    </row>
    <row r="39" spans="1:43" x14ac:dyDescent="0.25">
      <c r="A39" s="235"/>
      <c r="B39" s="235"/>
      <c r="C39" s="312"/>
      <c r="D39" s="312"/>
      <c r="E39" s="311"/>
      <c r="F39" s="310"/>
      <c r="G39" s="240"/>
      <c r="H39" s="240"/>
      <c r="I39" s="239"/>
      <c r="J39" s="240"/>
      <c r="K39" s="240"/>
      <c r="L39" s="239"/>
      <c r="M39" s="240"/>
      <c r="N39" s="240"/>
      <c r="O39" s="239"/>
      <c r="P39" s="309"/>
      <c r="Q39" s="237"/>
      <c r="R39" s="293"/>
      <c r="S39" s="293"/>
      <c r="T39" s="307"/>
      <c r="U39" s="306"/>
      <c r="V39" s="291"/>
      <c r="W39" s="291"/>
    </row>
    <row r="40" spans="1:43" x14ac:dyDescent="0.25">
      <c r="A40" s="244">
        <f>AA32</f>
        <v>0</v>
      </c>
      <c r="B40" s="235">
        <f t="shared" ref="B40:B45" si="36">Z$8</f>
        <v>800</v>
      </c>
      <c r="C40" s="312">
        <v>1900</v>
      </c>
      <c r="D40" s="312">
        <v>310</v>
      </c>
      <c r="E40" s="311">
        <f t="shared" ref="E40:E45" si="37">C40/1000*3600/D40</f>
        <v>22.06451612903226</v>
      </c>
      <c r="F40" s="310">
        <f t="shared" ref="F40:F45" si="38">E40-$Q$7</f>
        <v>21.834516129032259</v>
      </c>
      <c r="G40" s="240">
        <v>60</v>
      </c>
      <c r="H40" s="240">
        <v>380</v>
      </c>
      <c r="I40" s="239">
        <f t="shared" ref="I40:I45" si="39">IF(AND(G40&gt;0,H40&gt;0), H40/(G40/60)*sg_corr_factor, 0)</f>
        <v>384.04786120596901</v>
      </c>
      <c r="J40" s="240">
        <v>60</v>
      </c>
      <c r="K40" s="240">
        <v>380</v>
      </c>
      <c r="L40" s="239">
        <f t="shared" ref="L40:L45" si="40">IF(AND(J40&gt;0,K40&gt;0), K40/(J40/60)*sg_corr_factor, 0)</f>
        <v>384.04786120596901</v>
      </c>
      <c r="M40" s="240">
        <v>60</v>
      </c>
      <c r="N40" s="240">
        <v>380</v>
      </c>
      <c r="O40" s="239">
        <f t="shared" ref="O40:O45" si="41">IF(AND(M40&gt;0,N40&gt;0), N40/(M40/60)*sg_corr_factor, 0)</f>
        <v>384.04786120596901</v>
      </c>
      <c r="P40" s="309">
        <f t="shared" ref="P40:P45" si="42">AVERAGE(I40,L40,O40)</f>
        <v>384.04786120596901</v>
      </c>
      <c r="Q40" s="237">
        <f t="shared" ref="Q40:Q45" si="43">P40/100*A40/100*0.8</f>
        <v>0</v>
      </c>
      <c r="R40" s="308">
        <f t="shared" ref="R40:R45" si="44">Q40/E40</f>
        <v>0</v>
      </c>
      <c r="S40" s="293"/>
      <c r="T40" s="307"/>
      <c r="U40" s="306"/>
      <c r="V40" s="291"/>
      <c r="W40" s="291"/>
      <c r="X40" s="249"/>
      <c r="Y40" s="288" t="s">
        <v>393</v>
      </c>
      <c r="Z40" s="248"/>
    </row>
    <row r="41" spans="1:43" x14ac:dyDescent="0.25">
      <c r="A41" s="244">
        <v>500</v>
      </c>
      <c r="B41" s="235">
        <f t="shared" si="36"/>
        <v>800</v>
      </c>
      <c r="C41" s="312">
        <v>3300</v>
      </c>
      <c r="D41" s="312">
        <v>330</v>
      </c>
      <c r="E41" s="311">
        <f t="shared" si="37"/>
        <v>36</v>
      </c>
      <c r="F41" s="310">
        <f t="shared" si="38"/>
        <v>35.770000000000003</v>
      </c>
      <c r="G41" s="240">
        <v>60</v>
      </c>
      <c r="H41" s="240">
        <v>360</v>
      </c>
      <c r="I41" s="239">
        <f t="shared" si="39"/>
        <v>363.83481587933909</v>
      </c>
      <c r="J41" s="240">
        <v>60</v>
      </c>
      <c r="K41" s="240">
        <v>360</v>
      </c>
      <c r="L41" s="239">
        <f t="shared" si="40"/>
        <v>363.83481587933909</v>
      </c>
      <c r="M41" s="240">
        <v>60</v>
      </c>
      <c r="N41" s="240">
        <v>360</v>
      </c>
      <c r="O41" s="239">
        <f t="shared" si="41"/>
        <v>363.83481587933909</v>
      </c>
      <c r="P41" s="309">
        <f t="shared" si="42"/>
        <v>363.83481587933903</v>
      </c>
      <c r="Q41" s="237">
        <f t="shared" si="43"/>
        <v>14.553392635173561</v>
      </c>
      <c r="R41" s="308">
        <f t="shared" si="44"/>
        <v>0.40426090653259888</v>
      </c>
      <c r="S41" s="293"/>
      <c r="T41" s="307">
        <f>P41/$P$41</f>
        <v>1</v>
      </c>
      <c r="U41" s="306"/>
      <c r="V41" s="291"/>
      <c r="W41" s="291"/>
      <c r="AG41" s="286">
        <v>100</v>
      </c>
      <c r="AH41" s="286">
        <f>AG41/400*600</f>
        <v>150</v>
      </c>
    </row>
    <row r="42" spans="1:43" x14ac:dyDescent="0.25">
      <c r="A42" s="244">
        <v>1000</v>
      </c>
      <c r="B42" s="235">
        <f t="shared" si="36"/>
        <v>800</v>
      </c>
      <c r="C42" s="312">
        <v>4600</v>
      </c>
      <c r="D42" s="312">
        <v>310</v>
      </c>
      <c r="E42" s="311">
        <f t="shared" si="37"/>
        <v>53.41935483870968</v>
      </c>
      <c r="F42" s="310">
        <f t="shared" si="38"/>
        <v>53.189354838709683</v>
      </c>
      <c r="G42" s="240">
        <v>60</v>
      </c>
      <c r="H42" s="240">
        <v>345</v>
      </c>
      <c r="I42" s="239">
        <f t="shared" si="39"/>
        <v>348.6750318843666</v>
      </c>
      <c r="J42" s="240">
        <v>60</v>
      </c>
      <c r="K42" s="240">
        <v>345</v>
      </c>
      <c r="L42" s="239">
        <f t="shared" si="40"/>
        <v>348.6750318843666</v>
      </c>
      <c r="M42" s="240">
        <v>60</v>
      </c>
      <c r="N42" s="240">
        <v>345</v>
      </c>
      <c r="O42" s="239">
        <f t="shared" si="41"/>
        <v>348.6750318843666</v>
      </c>
      <c r="P42" s="309">
        <f t="shared" si="42"/>
        <v>348.67503188436666</v>
      </c>
      <c r="Q42" s="237">
        <f t="shared" si="43"/>
        <v>27.894002550749335</v>
      </c>
      <c r="R42" s="308">
        <f t="shared" si="44"/>
        <v>0.52217033760460707</v>
      </c>
      <c r="S42" s="293"/>
      <c r="T42" s="307">
        <f>P42/$P$41</f>
        <v>0.95833333333333359</v>
      </c>
      <c r="U42" s="306"/>
      <c r="V42" s="291"/>
      <c r="W42" s="291"/>
      <c r="AG42" s="286">
        <v>200</v>
      </c>
      <c r="AH42" s="286">
        <f>AG42/400*600</f>
        <v>300</v>
      </c>
    </row>
    <row r="43" spans="1:43" x14ac:dyDescent="0.25">
      <c r="A43" s="244">
        <v>3000</v>
      </c>
      <c r="B43" s="235">
        <f t="shared" si="36"/>
        <v>800</v>
      </c>
      <c r="C43" s="312">
        <v>9100</v>
      </c>
      <c r="D43" s="312">
        <v>310</v>
      </c>
      <c r="E43" s="311">
        <f t="shared" si="37"/>
        <v>105.6774193548387</v>
      </c>
      <c r="F43" s="310">
        <f t="shared" si="38"/>
        <v>105.4474193548387</v>
      </c>
      <c r="G43" s="240">
        <v>60</v>
      </c>
      <c r="H43" s="240">
        <v>305</v>
      </c>
      <c r="I43" s="239">
        <f t="shared" si="39"/>
        <v>308.2489412311067</v>
      </c>
      <c r="J43" s="240">
        <v>60</v>
      </c>
      <c r="K43" s="240">
        <v>305</v>
      </c>
      <c r="L43" s="239">
        <f t="shared" si="40"/>
        <v>308.2489412311067</v>
      </c>
      <c r="M43" s="240">
        <v>60</v>
      </c>
      <c r="N43" s="240">
        <v>305</v>
      </c>
      <c r="O43" s="239">
        <f t="shared" si="41"/>
        <v>308.2489412311067</v>
      </c>
      <c r="P43" s="309">
        <f t="shared" si="42"/>
        <v>308.2489412311067</v>
      </c>
      <c r="Q43" s="237">
        <f t="shared" si="43"/>
        <v>73.979745895465598</v>
      </c>
      <c r="R43" s="308">
        <f t="shared" si="44"/>
        <v>0.70005254052485766</v>
      </c>
      <c r="S43" s="293"/>
      <c r="T43" s="307">
        <f>P43/$P$41</f>
        <v>0.84722222222222232</v>
      </c>
      <c r="U43" s="306"/>
      <c r="V43" s="291"/>
      <c r="W43" s="291"/>
      <c r="AG43" s="286">
        <v>300</v>
      </c>
      <c r="AH43" s="286">
        <f>AG43/400*600</f>
        <v>450</v>
      </c>
    </row>
    <row r="44" spans="1:43" x14ac:dyDescent="0.25">
      <c r="A44" s="244">
        <v>4000</v>
      </c>
      <c r="B44" s="235">
        <f t="shared" si="36"/>
        <v>800</v>
      </c>
      <c r="C44" s="312">
        <v>11800</v>
      </c>
      <c r="D44" s="312">
        <v>310</v>
      </c>
      <c r="E44" s="311">
        <f t="shared" si="37"/>
        <v>137.03225806451613</v>
      </c>
      <c r="F44" s="310">
        <f t="shared" si="38"/>
        <v>136.80225806451614</v>
      </c>
      <c r="G44" s="240">
        <v>60</v>
      </c>
      <c r="H44" s="240">
        <v>285</v>
      </c>
      <c r="I44" s="239">
        <f t="shared" si="39"/>
        <v>288.03589590447677</v>
      </c>
      <c r="J44" s="240">
        <v>60</v>
      </c>
      <c r="K44" s="240">
        <v>288</v>
      </c>
      <c r="L44" s="239">
        <f t="shared" si="40"/>
        <v>291.06785270347126</v>
      </c>
      <c r="M44" s="240">
        <v>60</v>
      </c>
      <c r="N44" s="240">
        <v>285</v>
      </c>
      <c r="O44" s="239">
        <f t="shared" si="41"/>
        <v>288.03589590447677</v>
      </c>
      <c r="P44" s="309">
        <f t="shared" si="42"/>
        <v>289.04654817080831</v>
      </c>
      <c r="Q44" s="237">
        <f t="shared" si="43"/>
        <v>92.494895414658671</v>
      </c>
      <c r="R44" s="308">
        <f t="shared" si="44"/>
        <v>0.67498628951375206</v>
      </c>
      <c r="S44" s="293"/>
      <c r="T44" s="307">
        <f>P44/$P$41</f>
        <v>0.79444444444444462</v>
      </c>
      <c r="U44" s="306"/>
      <c r="V44" s="291"/>
      <c r="W44" s="291"/>
      <c r="AG44" s="286">
        <v>400</v>
      </c>
      <c r="AH44" s="286">
        <f>AG44/400*600</f>
        <v>600</v>
      </c>
    </row>
    <row r="45" spans="1:43" x14ac:dyDescent="0.25">
      <c r="A45" s="244">
        <v>5000</v>
      </c>
      <c r="B45" s="235">
        <f t="shared" si="36"/>
        <v>800</v>
      </c>
      <c r="C45" s="312">
        <v>16000</v>
      </c>
      <c r="D45" s="312">
        <v>330</v>
      </c>
      <c r="E45" s="311">
        <f t="shared" si="37"/>
        <v>174.54545454545453</v>
      </c>
      <c r="F45" s="310">
        <f t="shared" si="38"/>
        <v>174.31545454545454</v>
      </c>
      <c r="G45" s="240">
        <v>60</v>
      </c>
      <c r="H45" s="240">
        <v>270</v>
      </c>
      <c r="I45" s="239">
        <f t="shared" si="39"/>
        <v>272.87611190950429</v>
      </c>
      <c r="J45" s="240">
        <v>60</v>
      </c>
      <c r="K45" s="240">
        <v>270</v>
      </c>
      <c r="L45" s="239">
        <f t="shared" si="40"/>
        <v>272.87611190950429</v>
      </c>
      <c r="M45" s="240">
        <v>60</v>
      </c>
      <c r="N45" s="240">
        <v>270</v>
      </c>
      <c r="O45" s="239">
        <f t="shared" si="41"/>
        <v>272.87611190950429</v>
      </c>
      <c r="P45" s="309">
        <f t="shared" si="42"/>
        <v>272.87611190950429</v>
      </c>
      <c r="Q45" s="237">
        <f t="shared" si="43"/>
        <v>109.15044476380172</v>
      </c>
      <c r="R45" s="308">
        <f t="shared" si="44"/>
        <v>0.62534108979261405</v>
      </c>
      <c r="S45" s="293"/>
      <c r="T45" s="307">
        <f>P45/$P$41</f>
        <v>0.75</v>
      </c>
      <c r="U45" s="306"/>
      <c r="V45" s="291"/>
      <c r="W45" s="291"/>
    </row>
    <row r="46" spans="1:43" x14ac:dyDescent="0.25">
      <c r="A46" s="244"/>
      <c r="B46" s="235"/>
      <c r="C46" s="312"/>
      <c r="D46" s="312"/>
      <c r="E46" s="311"/>
      <c r="F46" s="310"/>
      <c r="G46" s="240"/>
      <c r="H46" s="240"/>
      <c r="I46" s="239"/>
      <c r="J46" s="240"/>
      <c r="K46" s="240"/>
      <c r="L46" s="239"/>
      <c r="M46" s="240"/>
      <c r="N46" s="240"/>
      <c r="O46" s="239"/>
      <c r="P46" s="309"/>
      <c r="Q46" s="237"/>
      <c r="R46" s="293"/>
      <c r="S46" s="293"/>
      <c r="T46" s="307"/>
      <c r="U46" s="306"/>
      <c r="V46" s="291"/>
      <c r="W46" s="291"/>
    </row>
    <row r="47" spans="1:43" x14ac:dyDescent="0.25">
      <c r="A47" s="244">
        <f>AA39</f>
        <v>0</v>
      </c>
      <c r="B47" s="235">
        <f t="shared" ref="B47:B52" si="45">Z$9</f>
        <v>1000</v>
      </c>
      <c r="C47" s="312">
        <v>1900</v>
      </c>
      <c r="D47" s="312">
        <v>330</v>
      </c>
      <c r="E47" s="311">
        <f t="shared" ref="E47:E52" si="46">C47/1000*3600/D47</f>
        <v>20.727272727272727</v>
      </c>
      <c r="F47" s="310">
        <f t="shared" ref="F47:F52" si="47">E47-$Q$7</f>
        <v>20.497272727272726</v>
      </c>
      <c r="G47" s="240">
        <v>60</v>
      </c>
      <c r="H47" s="240">
        <v>475</v>
      </c>
      <c r="I47" s="239">
        <f t="shared" ref="I47:I52" si="48">IF(AND(G47&gt;0,H47&gt;0), H47/(G47/60)*sg_corr_factor, 0)</f>
        <v>480.05982650746125</v>
      </c>
      <c r="J47" s="240">
        <v>60</v>
      </c>
      <c r="K47" s="240">
        <v>475</v>
      </c>
      <c r="L47" s="239">
        <f t="shared" ref="L47:L52" si="49">IF(AND(J47&gt;0,K47&gt;0), K47/(J47/60)*sg_corr_factor, 0)</f>
        <v>480.05982650746125</v>
      </c>
      <c r="M47" s="240">
        <v>60</v>
      </c>
      <c r="N47" s="240">
        <v>475</v>
      </c>
      <c r="O47" s="239">
        <f>IF(AND(M47&gt;0,N47&gt;0), N47/(M47/60)*sg_corr_factor, 0)</f>
        <v>480.05982650746125</v>
      </c>
      <c r="P47" s="309">
        <f t="shared" ref="P47:P52" si="50">AVERAGE(I47,L47,O47)</f>
        <v>480.0598265074612</v>
      </c>
      <c r="Q47" s="237">
        <f t="shared" ref="Q47:Q52" si="51">P47/100*A47/100*0.8</f>
        <v>0</v>
      </c>
      <c r="R47" s="308">
        <f t="shared" ref="R47:R52" si="52">Q47/E47</f>
        <v>0</v>
      </c>
      <c r="S47" s="293"/>
      <c r="T47" s="307"/>
      <c r="U47" s="306"/>
      <c r="V47" s="291"/>
      <c r="W47" s="291"/>
      <c r="X47" s="249"/>
      <c r="Y47" s="288" t="s">
        <v>393</v>
      </c>
      <c r="Z47" s="248"/>
    </row>
    <row r="48" spans="1:43" x14ac:dyDescent="0.25">
      <c r="A48" s="244">
        <v>500</v>
      </c>
      <c r="B48" s="235">
        <f t="shared" si="45"/>
        <v>1000</v>
      </c>
      <c r="C48" s="312">
        <v>5200</v>
      </c>
      <c r="D48" s="312">
        <v>435</v>
      </c>
      <c r="E48" s="311">
        <f t="shared" si="46"/>
        <v>43.03448275862069</v>
      </c>
      <c r="F48" s="310">
        <f t="shared" si="47"/>
        <v>42.804482758620694</v>
      </c>
      <c r="G48" s="240">
        <v>60</v>
      </c>
      <c r="H48" s="240">
        <v>445</v>
      </c>
      <c r="I48" s="239">
        <f t="shared" si="48"/>
        <v>449.74025851751634</v>
      </c>
      <c r="J48" s="240">
        <v>60</v>
      </c>
      <c r="K48" s="240">
        <v>445</v>
      </c>
      <c r="L48" s="239">
        <f t="shared" si="49"/>
        <v>449.74025851751634</v>
      </c>
      <c r="M48" s="240">
        <v>60</v>
      </c>
      <c r="N48" s="240">
        <v>445</v>
      </c>
      <c r="O48" s="239">
        <f>IF(AND(M48&gt;0,N48&gt;0), N48/(M48/60)*sg_corr_factor, 0)</f>
        <v>449.74025851751634</v>
      </c>
      <c r="P48" s="309">
        <f t="shared" si="50"/>
        <v>449.74025851751634</v>
      </c>
      <c r="Q48" s="237">
        <f t="shared" si="51"/>
        <v>17.989610340700658</v>
      </c>
      <c r="R48" s="308">
        <f t="shared" si="52"/>
        <v>0.41802780439128129</v>
      </c>
      <c r="S48" s="293"/>
      <c r="T48" s="307">
        <f>P48/$P$48</f>
        <v>1</v>
      </c>
      <c r="U48" s="306"/>
      <c r="V48" s="291"/>
      <c r="W48" s="291"/>
      <c r="AG48" s="286">
        <v>100</v>
      </c>
      <c r="AH48" s="286">
        <f>AG48/400*600</f>
        <v>150</v>
      </c>
    </row>
    <row r="49" spans="1:34" x14ac:dyDescent="0.25">
      <c r="A49" s="244">
        <v>1000</v>
      </c>
      <c r="B49" s="235">
        <f t="shared" si="45"/>
        <v>1000</v>
      </c>
      <c r="C49" s="312">
        <v>5800</v>
      </c>
      <c r="D49" s="312">
        <v>300</v>
      </c>
      <c r="E49" s="311">
        <f t="shared" si="46"/>
        <v>69.599999999999994</v>
      </c>
      <c r="F49" s="310">
        <f t="shared" si="47"/>
        <v>69.36999999999999</v>
      </c>
      <c r="G49" s="240">
        <v>60</v>
      </c>
      <c r="H49" s="240">
        <v>430</v>
      </c>
      <c r="I49" s="239">
        <f t="shared" si="48"/>
        <v>434.58047452254391</v>
      </c>
      <c r="J49" s="240">
        <v>60</v>
      </c>
      <c r="K49" s="240">
        <v>430</v>
      </c>
      <c r="L49" s="239">
        <f t="shared" si="49"/>
        <v>434.58047452254391</v>
      </c>
      <c r="M49" s="240">
        <v>60</v>
      </c>
      <c r="N49" s="240">
        <v>430</v>
      </c>
      <c r="O49" s="239">
        <f>IF(AND(M49&gt;0,N49&gt;0), N49/(M49/60)*sg_corr_factor, 0)</f>
        <v>434.58047452254391</v>
      </c>
      <c r="P49" s="309">
        <f t="shared" si="50"/>
        <v>434.58047452254391</v>
      </c>
      <c r="Q49" s="237">
        <f t="shared" si="51"/>
        <v>34.766437961803511</v>
      </c>
      <c r="R49" s="308">
        <f t="shared" si="52"/>
        <v>0.49951778680752174</v>
      </c>
      <c r="S49" s="293"/>
      <c r="T49" s="307">
        <f>P49/$P$48</f>
        <v>0.9662921348314607</v>
      </c>
      <c r="U49" s="306"/>
      <c r="V49" s="291"/>
      <c r="W49" s="291"/>
      <c r="AG49" s="286">
        <v>200</v>
      </c>
      <c r="AH49" s="286">
        <f>AG49/400*600</f>
        <v>300</v>
      </c>
    </row>
    <row r="50" spans="1:34" x14ac:dyDescent="0.25">
      <c r="A50" s="244">
        <v>3000</v>
      </c>
      <c r="B50" s="235">
        <f t="shared" si="45"/>
        <v>1000</v>
      </c>
      <c r="C50" s="312">
        <v>11400</v>
      </c>
      <c r="D50" s="312">
        <v>330</v>
      </c>
      <c r="E50" s="311">
        <f t="shared" si="46"/>
        <v>124.36363636363636</v>
      </c>
      <c r="F50" s="310">
        <f t="shared" si="47"/>
        <v>124.13363636363636</v>
      </c>
      <c r="G50" s="240">
        <v>60</v>
      </c>
      <c r="H50" s="240">
        <v>380</v>
      </c>
      <c r="I50" s="239">
        <f t="shared" si="48"/>
        <v>384.04786120596901</v>
      </c>
      <c r="J50" s="240">
        <v>60</v>
      </c>
      <c r="K50" s="240">
        <v>380</v>
      </c>
      <c r="L50" s="239">
        <f t="shared" si="49"/>
        <v>384.04786120596901</v>
      </c>
      <c r="M50" s="240">
        <v>60</v>
      </c>
      <c r="N50" s="240">
        <v>380</v>
      </c>
      <c r="O50" s="239">
        <f>IF(AND(M50&gt;0,N50&gt;0), N50/(M50/60)*sg_corr_factor, 0)</f>
        <v>384.04786120596901</v>
      </c>
      <c r="P50" s="309">
        <f t="shared" si="50"/>
        <v>384.04786120596901</v>
      </c>
      <c r="Q50" s="237">
        <f t="shared" si="51"/>
        <v>92.171486689432584</v>
      </c>
      <c r="R50" s="308">
        <f t="shared" si="52"/>
        <v>0.74114499530976496</v>
      </c>
      <c r="S50" s="293"/>
      <c r="T50" s="307">
        <f>P50/$P$48</f>
        <v>0.8539325842696629</v>
      </c>
      <c r="U50" s="306"/>
      <c r="V50" s="291"/>
      <c r="W50" s="291"/>
      <c r="AG50" s="286">
        <v>300</v>
      </c>
      <c r="AH50" s="286">
        <f>AG50/400*600</f>
        <v>450</v>
      </c>
    </row>
    <row r="51" spans="1:34" x14ac:dyDescent="0.25">
      <c r="A51" s="244">
        <v>4000</v>
      </c>
      <c r="B51" s="235">
        <f t="shared" si="45"/>
        <v>1000</v>
      </c>
      <c r="C51" s="312">
        <v>13600</v>
      </c>
      <c r="D51" s="312">
        <v>310</v>
      </c>
      <c r="E51" s="311">
        <f t="shared" si="46"/>
        <v>157.93548387096774</v>
      </c>
      <c r="F51" s="310">
        <f t="shared" si="47"/>
        <v>157.70548387096775</v>
      </c>
      <c r="G51" s="240">
        <v>60</v>
      </c>
      <c r="H51" s="240">
        <v>365</v>
      </c>
      <c r="I51" s="239">
        <f t="shared" si="48"/>
        <v>368.88807721099653</v>
      </c>
      <c r="J51" s="240">
        <v>60</v>
      </c>
      <c r="K51" s="240">
        <v>365</v>
      </c>
      <c r="L51" s="239">
        <f t="shared" si="49"/>
        <v>368.88807721099653</v>
      </c>
      <c r="M51" s="240">
        <v>60</v>
      </c>
      <c r="N51" s="240">
        <v>365</v>
      </c>
      <c r="O51" s="239"/>
      <c r="P51" s="309">
        <f t="shared" si="50"/>
        <v>368.88807721099653</v>
      </c>
      <c r="Q51" s="237">
        <f t="shared" si="51"/>
        <v>118.04418470751889</v>
      </c>
      <c r="R51" s="308">
        <f t="shared" si="52"/>
        <v>0.74742028715953546</v>
      </c>
      <c r="S51" s="293"/>
      <c r="T51" s="307">
        <f>P51/$P$48</f>
        <v>0.8202247191011236</v>
      </c>
      <c r="U51" s="306"/>
      <c r="V51" s="291"/>
      <c r="W51" s="291"/>
      <c r="AG51" s="286">
        <v>400</v>
      </c>
      <c r="AH51" s="286">
        <f>AG51/400*600</f>
        <v>600</v>
      </c>
    </row>
    <row r="52" spans="1:34" x14ac:dyDescent="0.25">
      <c r="A52" s="244">
        <v>5000</v>
      </c>
      <c r="B52" s="235">
        <f t="shared" si="45"/>
        <v>1000</v>
      </c>
      <c r="C52" s="312">
        <v>16000</v>
      </c>
      <c r="D52" s="312">
        <v>310</v>
      </c>
      <c r="E52" s="311">
        <f t="shared" si="46"/>
        <v>185.80645161290323</v>
      </c>
      <c r="F52" s="310">
        <f t="shared" si="47"/>
        <v>185.57645161290324</v>
      </c>
      <c r="G52" s="240">
        <v>60</v>
      </c>
      <c r="H52" s="240">
        <v>340</v>
      </c>
      <c r="I52" s="239">
        <f t="shared" si="48"/>
        <v>343.62177055270911</v>
      </c>
      <c r="J52" s="240">
        <v>60</v>
      </c>
      <c r="K52" s="240">
        <v>340</v>
      </c>
      <c r="L52" s="239">
        <f t="shared" si="49"/>
        <v>343.62177055270911</v>
      </c>
      <c r="M52" s="240">
        <v>60</v>
      </c>
      <c r="N52" s="240">
        <v>340</v>
      </c>
      <c r="O52" s="239">
        <f>IF(AND(M52&gt;0,N52&gt;0), N52/(M52/60)*sg_corr_factor, 0)</f>
        <v>343.62177055270911</v>
      </c>
      <c r="P52" s="309">
        <f t="shared" si="50"/>
        <v>343.62177055270905</v>
      </c>
      <c r="Q52" s="237">
        <f t="shared" si="51"/>
        <v>137.44870822108362</v>
      </c>
      <c r="R52" s="308">
        <f t="shared" si="52"/>
        <v>0.73974131160652645</v>
      </c>
      <c r="S52" s="293"/>
      <c r="T52" s="307">
        <f>P52/$P$48</f>
        <v>0.76404494382022459</v>
      </c>
      <c r="U52" s="306"/>
      <c r="V52" s="291"/>
      <c r="W52" s="291"/>
    </row>
    <row r="53" spans="1:34" x14ac:dyDescent="0.25">
      <c r="A53" s="291"/>
      <c r="B53" s="235"/>
      <c r="C53" s="293"/>
      <c r="D53" s="293"/>
      <c r="E53" s="314"/>
      <c r="F53" s="301"/>
      <c r="G53" s="293"/>
      <c r="H53" s="291"/>
      <c r="I53" s="313"/>
      <c r="J53" s="313"/>
      <c r="K53" s="313"/>
      <c r="L53" s="313"/>
      <c r="M53" s="313"/>
      <c r="N53" s="313"/>
      <c r="O53" s="313"/>
      <c r="P53" s="313"/>
      <c r="Q53" s="245"/>
      <c r="R53" s="293"/>
      <c r="S53" s="293"/>
      <c r="T53" s="307"/>
      <c r="U53" s="306"/>
      <c r="V53" s="291"/>
      <c r="W53" s="291"/>
    </row>
    <row r="54" spans="1:34" x14ac:dyDescent="0.25">
      <c r="A54" s="244">
        <f>AA46</f>
        <v>0</v>
      </c>
      <c r="B54" s="244">
        <f>Z10</f>
        <v>1100</v>
      </c>
      <c r="C54" s="312">
        <v>2400</v>
      </c>
      <c r="D54" s="312">
        <v>310</v>
      </c>
      <c r="E54" s="311">
        <f t="shared" ref="E54:E59" si="53">C54/1000*3600/D54</f>
        <v>27.870967741935484</v>
      </c>
      <c r="F54" s="310">
        <f t="shared" ref="F54:F59" si="54">E54-$Q$7</f>
        <v>27.640967741935484</v>
      </c>
      <c r="G54" s="240">
        <v>60</v>
      </c>
      <c r="H54" s="240">
        <v>520</v>
      </c>
      <c r="I54" s="239">
        <f t="shared" ref="I54:I59" si="55">IF(AND(G54&gt;0,H54&gt;0), H54/(G54/60)*sg_corr_factor, 0)</f>
        <v>525.5391784923786</v>
      </c>
      <c r="J54" s="240">
        <v>60</v>
      </c>
      <c r="K54" s="240">
        <v>520</v>
      </c>
      <c r="L54" s="239">
        <f t="shared" ref="L54:L59" si="56">IF(AND(J54&gt;0,K54&gt;0), K54/(J54/60)*sg_corr_factor, 0)</f>
        <v>525.5391784923786</v>
      </c>
      <c r="M54" s="240">
        <v>60</v>
      </c>
      <c r="N54" s="240">
        <v>520</v>
      </c>
      <c r="O54" s="239">
        <f t="shared" ref="O54:O59" si="57">IF(AND(M54&gt;0,N54&gt;0), N54/(M54/60)*sg_corr_factor, 0)</f>
        <v>525.5391784923786</v>
      </c>
      <c r="P54" s="309">
        <f t="shared" ref="P54:P59" si="58">AVERAGE(I54,L54,O54)</f>
        <v>525.5391784923786</v>
      </c>
      <c r="Q54" s="237">
        <f t="shared" ref="Q54:Q59" si="59">P54/100*A54/100*0.8</f>
        <v>0</v>
      </c>
      <c r="R54" s="308">
        <f t="shared" ref="R54:R59" si="60">Q54/E54</f>
        <v>0</v>
      </c>
      <c r="S54" s="293"/>
      <c r="T54" s="307"/>
      <c r="U54" s="306"/>
      <c r="V54" s="291"/>
      <c r="W54" s="291"/>
      <c r="Y54" s="288" t="s">
        <v>393</v>
      </c>
    </row>
    <row r="55" spans="1:34" x14ac:dyDescent="0.25">
      <c r="A55" s="244">
        <v>500</v>
      </c>
      <c r="B55" s="244">
        <f>B54</f>
        <v>1100</v>
      </c>
      <c r="C55" s="312">
        <v>4400</v>
      </c>
      <c r="D55" s="312">
        <v>310</v>
      </c>
      <c r="E55" s="311">
        <f t="shared" si="53"/>
        <v>51.096774193548391</v>
      </c>
      <c r="F55" s="310">
        <f t="shared" si="54"/>
        <v>50.866774193548395</v>
      </c>
      <c r="G55" s="240">
        <v>60</v>
      </c>
      <c r="H55" s="240">
        <v>490</v>
      </c>
      <c r="I55" s="239">
        <f t="shared" si="55"/>
        <v>495.21961050243374</v>
      </c>
      <c r="J55" s="240">
        <v>60</v>
      </c>
      <c r="K55" s="240">
        <v>490</v>
      </c>
      <c r="L55" s="239">
        <f t="shared" si="56"/>
        <v>495.21961050243374</v>
      </c>
      <c r="M55" s="240">
        <v>60</v>
      </c>
      <c r="N55" s="240">
        <v>490</v>
      </c>
      <c r="O55" s="239">
        <f t="shared" si="57"/>
        <v>495.21961050243374</v>
      </c>
      <c r="P55" s="309">
        <f t="shared" si="58"/>
        <v>495.2196105024338</v>
      </c>
      <c r="Q55" s="237">
        <f t="shared" si="59"/>
        <v>19.808784420097354</v>
      </c>
      <c r="R55" s="308">
        <f t="shared" si="60"/>
        <v>0.38767191731251133</v>
      </c>
      <c r="S55" s="293"/>
      <c r="T55" s="307">
        <f>P55/$P$55</f>
        <v>1</v>
      </c>
      <c r="U55" s="306"/>
      <c r="V55" s="291"/>
      <c r="W55" s="291"/>
    </row>
    <row r="56" spans="1:34" x14ac:dyDescent="0.25">
      <c r="A56" s="244">
        <v>1000</v>
      </c>
      <c r="B56" s="244">
        <f>B55</f>
        <v>1100</v>
      </c>
      <c r="C56" s="312">
        <v>6200</v>
      </c>
      <c r="D56" s="312">
        <v>310</v>
      </c>
      <c r="E56" s="311">
        <f t="shared" si="53"/>
        <v>72</v>
      </c>
      <c r="F56" s="310">
        <f t="shared" si="54"/>
        <v>71.77</v>
      </c>
      <c r="G56" s="240">
        <v>60</v>
      </c>
      <c r="H56" s="240">
        <v>475</v>
      </c>
      <c r="I56" s="239">
        <f t="shared" si="55"/>
        <v>480.05982650746125</v>
      </c>
      <c r="J56" s="240">
        <v>60</v>
      </c>
      <c r="K56" s="240">
        <v>475</v>
      </c>
      <c r="L56" s="239">
        <f t="shared" si="56"/>
        <v>480.05982650746125</v>
      </c>
      <c r="M56" s="240">
        <v>60</v>
      </c>
      <c r="N56" s="240">
        <v>475</v>
      </c>
      <c r="O56" s="239">
        <f t="shared" si="57"/>
        <v>480.05982650746125</v>
      </c>
      <c r="P56" s="309">
        <f t="shared" si="58"/>
        <v>480.0598265074612</v>
      </c>
      <c r="Q56" s="237">
        <f t="shared" si="59"/>
        <v>38.404786120596896</v>
      </c>
      <c r="R56" s="308">
        <f t="shared" si="60"/>
        <v>0.53339980723051239</v>
      </c>
      <c r="S56" s="293"/>
      <c r="T56" s="307">
        <f>P56/$P$55</f>
        <v>0.96938775510204056</v>
      </c>
      <c r="U56" s="306"/>
      <c r="V56" s="291"/>
      <c r="W56" s="291"/>
    </row>
    <row r="57" spans="1:34" x14ac:dyDescent="0.25">
      <c r="A57" s="244">
        <v>3000</v>
      </c>
      <c r="B57" s="244">
        <f>B56</f>
        <v>1100</v>
      </c>
      <c r="C57" s="312">
        <v>12100</v>
      </c>
      <c r="D57" s="312">
        <v>310</v>
      </c>
      <c r="E57" s="311">
        <f t="shared" si="53"/>
        <v>140.51612903225808</v>
      </c>
      <c r="F57" s="310">
        <f t="shared" si="54"/>
        <v>140.28612903225809</v>
      </c>
      <c r="G57" s="240">
        <v>60</v>
      </c>
      <c r="H57" s="240">
        <v>435</v>
      </c>
      <c r="I57" s="239">
        <f t="shared" si="55"/>
        <v>439.63373585420135</v>
      </c>
      <c r="J57" s="240">
        <v>60</v>
      </c>
      <c r="K57" s="240">
        <v>435</v>
      </c>
      <c r="L57" s="239">
        <f t="shared" si="56"/>
        <v>439.63373585420135</v>
      </c>
      <c r="M57" s="240">
        <v>60</v>
      </c>
      <c r="N57" s="240">
        <v>435</v>
      </c>
      <c r="O57" s="239">
        <f t="shared" si="57"/>
        <v>439.63373585420135</v>
      </c>
      <c r="P57" s="309">
        <f t="shared" si="58"/>
        <v>439.63373585420135</v>
      </c>
      <c r="Q57" s="237">
        <f t="shared" si="59"/>
        <v>105.51209660500834</v>
      </c>
      <c r="R57" s="308">
        <f t="shared" si="60"/>
        <v>0.75088957639009601</v>
      </c>
      <c r="S57" s="293"/>
      <c r="T57" s="307">
        <f>P57/$P$55</f>
        <v>0.8877551020408162</v>
      </c>
      <c r="U57" s="306"/>
      <c r="V57" s="291"/>
      <c r="W57" s="291"/>
    </row>
    <row r="58" spans="1:34" x14ac:dyDescent="0.25">
      <c r="A58" s="244">
        <v>4000</v>
      </c>
      <c r="B58" s="244">
        <f>B57</f>
        <v>1100</v>
      </c>
      <c r="C58" s="312">
        <v>15400</v>
      </c>
      <c r="D58" s="312">
        <v>310</v>
      </c>
      <c r="E58" s="311">
        <f t="shared" si="53"/>
        <v>178.83870967741936</v>
      </c>
      <c r="F58" s="310">
        <f t="shared" si="54"/>
        <v>178.60870967741937</v>
      </c>
      <c r="G58" s="240">
        <v>60</v>
      </c>
      <c r="H58" s="240">
        <v>390</v>
      </c>
      <c r="I58" s="239">
        <f t="shared" si="55"/>
        <v>394.154383869284</v>
      </c>
      <c r="J58" s="240">
        <v>60</v>
      </c>
      <c r="K58" s="240">
        <v>390</v>
      </c>
      <c r="L58" s="239">
        <f t="shared" si="56"/>
        <v>394.154383869284</v>
      </c>
      <c r="M58" s="240">
        <v>60</v>
      </c>
      <c r="N58" s="240">
        <v>390</v>
      </c>
      <c r="O58" s="239">
        <f t="shared" si="57"/>
        <v>394.154383869284</v>
      </c>
      <c r="P58" s="309">
        <f t="shared" si="58"/>
        <v>394.154383869284</v>
      </c>
      <c r="Q58" s="237">
        <f t="shared" si="59"/>
        <v>126.12940283817089</v>
      </c>
      <c r="R58" s="308">
        <f t="shared" si="60"/>
        <v>0.70526902741401465</v>
      </c>
      <c r="S58" s="293"/>
      <c r="T58" s="307">
        <f>P58/$P$55</f>
        <v>0.79591836734693866</v>
      </c>
      <c r="U58" s="306"/>
      <c r="V58" s="291"/>
      <c r="W58" s="291"/>
    </row>
    <row r="59" spans="1:34" x14ac:dyDescent="0.25">
      <c r="A59" s="244">
        <v>5000</v>
      </c>
      <c r="B59" s="244">
        <f>B58</f>
        <v>1100</v>
      </c>
      <c r="C59" s="312">
        <v>17200</v>
      </c>
      <c r="D59" s="312">
        <v>310</v>
      </c>
      <c r="E59" s="311">
        <f t="shared" si="53"/>
        <v>199.74193548387098</v>
      </c>
      <c r="F59" s="310">
        <f t="shared" si="54"/>
        <v>199.51193548387099</v>
      </c>
      <c r="G59" s="240">
        <v>60</v>
      </c>
      <c r="H59" s="240">
        <v>350</v>
      </c>
      <c r="I59" s="239">
        <f t="shared" si="55"/>
        <v>353.7282932160241</v>
      </c>
      <c r="J59" s="240">
        <v>60</v>
      </c>
      <c r="K59" s="240">
        <v>350</v>
      </c>
      <c r="L59" s="239">
        <f t="shared" si="56"/>
        <v>353.7282932160241</v>
      </c>
      <c r="M59" s="240">
        <v>60</v>
      </c>
      <c r="N59" s="240">
        <v>350</v>
      </c>
      <c r="O59" s="239">
        <f t="shared" si="57"/>
        <v>353.7282932160241</v>
      </c>
      <c r="P59" s="309">
        <f t="shared" si="58"/>
        <v>353.72829321602404</v>
      </c>
      <c r="Q59" s="237">
        <f t="shared" si="59"/>
        <v>141.49131728640961</v>
      </c>
      <c r="R59" s="308">
        <f t="shared" si="60"/>
        <v>0.70837061302950544</v>
      </c>
      <c r="S59" s="293"/>
      <c r="T59" s="307">
        <f>P59/$P$55</f>
        <v>0.71428571428571408</v>
      </c>
      <c r="U59" s="306"/>
      <c r="V59" s="291"/>
      <c r="W59" s="291"/>
    </row>
    <row r="60" spans="1:34" x14ac:dyDescent="0.25">
      <c r="A60" s="234"/>
      <c r="B60" s="235"/>
      <c r="C60" s="293"/>
      <c r="D60" s="293"/>
      <c r="E60" s="293"/>
      <c r="F60" s="293"/>
      <c r="G60" s="293"/>
      <c r="H60" s="291"/>
      <c r="I60" s="291"/>
      <c r="J60" s="291"/>
      <c r="K60" s="291"/>
      <c r="L60" s="291"/>
      <c r="M60" s="291"/>
      <c r="N60" s="291"/>
      <c r="O60" s="291"/>
      <c r="P60" s="291"/>
      <c r="Q60" s="234"/>
      <c r="R60" s="293"/>
      <c r="S60" s="293"/>
      <c r="T60" s="307"/>
      <c r="U60" s="306"/>
      <c r="V60" s="291"/>
      <c r="W60" s="291"/>
    </row>
    <row r="61" spans="1:34" x14ac:dyDescent="0.25">
      <c r="A61" s="234"/>
      <c r="B61" s="235"/>
      <c r="C61" s="293"/>
      <c r="D61" s="293"/>
      <c r="E61" s="293"/>
      <c r="F61" s="293"/>
      <c r="G61" s="293"/>
      <c r="H61" s="291"/>
      <c r="I61" s="291"/>
      <c r="J61" s="291"/>
      <c r="K61" s="291"/>
      <c r="L61" s="291"/>
      <c r="M61" s="291"/>
      <c r="N61" s="291"/>
      <c r="O61" s="291"/>
      <c r="P61" s="291"/>
      <c r="Q61" s="234"/>
      <c r="R61" s="293"/>
      <c r="S61" s="293"/>
      <c r="T61" s="307"/>
      <c r="U61" s="306"/>
      <c r="V61" s="291"/>
      <c r="W61" s="291"/>
    </row>
    <row r="62" spans="1:34" x14ac:dyDescent="0.25">
      <c r="A62" s="234"/>
      <c r="B62" s="235"/>
      <c r="C62" s="293"/>
      <c r="D62" s="293"/>
      <c r="E62" s="293"/>
      <c r="F62" s="293"/>
      <c r="G62" s="293"/>
      <c r="H62" s="291"/>
      <c r="I62" s="291"/>
      <c r="J62" s="291"/>
      <c r="K62" s="291"/>
      <c r="L62" s="291"/>
      <c r="M62" s="291"/>
      <c r="N62" s="291"/>
      <c r="O62" s="291"/>
      <c r="P62" s="291"/>
      <c r="Q62" s="234"/>
      <c r="R62" s="293"/>
      <c r="S62" s="293"/>
      <c r="T62" s="307"/>
      <c r="U62" s="306"/>
      <c r="V62" s="291"/>
      <c r="W62" s="291"/>
    </row>
    <row r="64" spans="1:34" x14ac:dyDescent="0.25">
      <c r="E64" s="305">
        <f>E59/746</f>
        <v>0.26775058375854016</v>
      </c>
      <c r="F64" s="286" t="s">
        <v>396</v>
      </c>
      <c r="I64" s="286" t="s">
        <v>397</v>
      </c>
      <c r="K64" s="304"/>
      <c r="S64" s="219" t="s">
        <v>18</v>
      </c>
      <c r="U64" s="286" t="s">
        <v>345</v>
      </c>
    </row>
    <row r="65" spans="1:26" x14ac:dyDescent="0.25">
      <c r="E65" s="303">
        <f>E59/[2]COMET2_DH300!F51</f>
        <v>1.3710064896964169</v>
      </c>
      <c r="F65" s="286" t="s">
        <v>398</v>
      </c>
      <c r="R65" s="221" t="s">
        <v>205</v>
      </c>
      <c r="S65" s="220">
        <f>B12</f>
        <v>100</v>
      </c>
      <c r="T65" s="219">
        <f>B19</f>
        <v>200</v>
      </c>
      <c r="U65" s="219">
        <f>B26</f>
        <v>400</v>
      </c>
      <c r="V65" s="219" t="s">
        <v>407</v>
      </c>
      <c r="W65" s="219">
        <f>B40</f>
        <v>800</v>
      </c>
      <c r="X65" s="219">
        <f>B47</f>
        <v>1000</v>
      </c>
      <c r="Y65" s="219">
        <f>B54</f>
        <v>1100</v>
      </c>
    </row>
    <row r="66" spans="1:26" x14ac:dyDescent="0.25">
      <c r="I66" s="286">
        <v>1.026</v>
      </c>
      <c r="R66" s="215">
        <f t="shared" ref="R66:R71" si="61">AA4</f>
        <v>0</v>
      </c>
      <c r="S66" s="301">
        <f t="shared" ref="S66:S71" si="62">W12</f>
        <v>0</v>
      </c>
      <c r="T66" s="300">
        <f t="shared" ref="T66:T71" si="63">W19</f>
        <v>0</v>
      </c>
      <c r="U66" s="300">
        <f t="shared" ref="U66:U71" si="64">P26</f>
        <v>190</v>
      </c>
      <c r="V66" s="300">
        <f t="shared" ref="V66:V71" si="65">P33</f>
        <v>293.08915723613427</v>
      </c>
      <c r="W66" s="300">
        <f t="shared" ref="W66:W71" si="66">P40</f>
        <v>384.04786120596901</v>
      </c>
      <c r="X66" s="300">
        <f t="shared" ref="X66:X71" si="67">P47</f>
        <v>480.0598265074612</v>
      </c>
      <c r="Y66" s="300">
        <f t="shared" ref="Y66:Y71" si="68">P54</f>
        <v>525.5391784923786</v>
      </c>
    </row>
    <row r="67" spans="1:26" x14ac:dyDescent="0.25">
      <c r="I67" s="286">
        <v>1.024</v>
      </c>
      <c r="R67" s="215">
        <f t="shared" si="61"/>
        <v>500</v>
      </c>
      <c r="S67" s="301">
        <f t="shared" si="62"/>
        <v>0</v>
      </c>
      <c r="T67" s="300">
        <f t="shared" si="63"/>
        <v>0</v>
      </c>
      <c r="U67" s="300">
        <f t="shared" si="64"/>
        <v>182</v>
      </c>
      <c r="V67" s="300">
        <f t="shared" si="65"/>
        <v>277.92937324116178</v>
      </c>
      <c r="W67" s="300">
        <f t="shared" si="66"/>
        <v>363.83481587933903</v>
      </c>
      <c r="X67" s="300">
        <f t="shared" si="67"/>
        <v>449.74025851751634</v>
      </c>
      <c r="Y67" s="300">
        <f t="shared" si="68"/>
        <v>495.2196105024338</v>
      </c>
    </row>
    <row r="68" spans="1:26" x14ac:dyDescent="0.25">
      <c r="H68" s="286" t="s">
        <v>399</v>
      </c>
      <c r="I68" s="286">
        <f>PI()*(I66/2)*(I67/2)</f>
        <v>0.82515816002128073</v>
      </c>
      <c r="J68" s="286" t="s">
        <v>400</v>
      </c>
      <c r="K68" s="286" t="s">
        <v>401</v>
      </c>
      <c r="R68" s="215">
        <f t="shared" si="61"/>
        <v>1000</v>
      </c>
      <c r="S68" s="301">
        <f t="shared" si="62"/>
        <v>0</v>
      </c>
      <c r="T68" s="300">
        <f t="shared" si="63"/>
        <v>0</v>
      </c>
      <c r="U68" s="300">
        <f t="shared" si="64"/>
        <v>178</v>
      </c>
      <c r="V68" s="300">
        <f t="shared" si="65"/>
        <v>262.7695892461893</v>
      </c>
      <c r="W68" s="300">
        <f t="shared" si="66"/>
        <v>348.67503188436666</v>
      </c>
      <c r="X68" s="300">
        <f t="shared" si="67"/>
        <v>434.58047452254391</v>
      </c>
      <c r="Y68" s="300">
        <f t="shared" si="68"/>
        <v>480.0598265074612</v>
      </c>
    </row>
    <row r="69" spans="1:26" x14ac:dyDescent="0.25">
      <c r="H69" s="286" t="s">
        <v>402</v>
      </c>
      <c r="I69" s="286">
        <v>0.81646099999999999</v>
      </c>
      <c r="J69" s="286" t="s">
        <v>400</v>
      </c>
      <c r="K69" s="286" t="s">
        <v>403</v>
      </c>
      <c r="R69" s="215">
        <f t="shared" si="61"/>
        <v>3000</v>
      </c>
      <c r="S69" s="301">
        <f t="shared" si="62"/>
        <v>0</v>
      </c>
      <c r="T69" s="300">
        <f t="shared" si="63"/>
        <v>0</v>
      </c>
      <c r="U69" s="300">
        <f t="shared" si="64"/>
        <v>160</v>
      </c>
      <c r="V69" s="300">
        <f t="shared" si="65"/>
        <v>237.50328258790191</v>
      </c>
      <c r="W69" s="300">
        <f t="shared" si="66"/>
        <v>308.2489412311067</v>
      </c>
      <c r="X69" s="300">
        <f t="shared" si="67"/>
        <v>384.04786120596901</v>
      </c>
      <c r="Y69" s="300">
        <f t="shared" si="68"/>
        <v>439.63373585420135</v>
      </c>
    </row>
    <row r="70" spans="1:26" x14ac:dyDescent="0.25">
      <c r="H70" s="286" t="s">
        <v>404</v>
      </c>
      <c r="I70" s="302">
        <f>((I68-I69)/I69)+1</f>
        <v>1.0106522663314974</v>
      </c>
      <c r="K70" s="286" t="s">
        <v>405</v>
      </c>
      <c r="R70" s="215">
        <f t="shared" si="61"/>
        <v>4000</v>
      </c>
      <c r="S70" s="301">
        <f t="shared" si="62"/>
        <v>0</v>
      </c>
      <c r="T70" s="300">
        <f t="shared" si="63"/>
        <v>0</v>
      </c>
      <c r="U70" s="300">
        <f t="shared" si="64"/>
        <v>151</v>
      </c>
      <c r="V70" s="300">
        <f t="shared" si="65"/>
        <v>227.39675992458692</v>
      </c>
      <c r="W70" s="300">
        <f t="shared" si="66"/>
        <v>289.04654817080831</v>
      </c>
      <c r="X70" s="300">
        <f t="shared" si="67"/>
        <v>368.88807721099653</v>
      </c>
      <c r="Y70" s="300">
        <f t="shared" si="68"/>
        <v>394.154383869284</v>
      </c>
    </row>
    <row r="71" spans="1:26" x14ac:dyDescent="0.25">
      <c r="R71" s="215">
        <f t="shared" si="61"/>
        <v>5000</v>
      </c>
      <c r="S71" s="301">
        <f t="shared" si="62"/>
        <v>0</v>
      </c>
      <c r="T71" s="300">
        <f t="shared" si="63"/>
        <v>0</v>
      </c>
      <c r="U71" s="300">
        <f t="shared" si="64"/>
        <v>140</v>
      </c>
      <c r="V71" s="300">
        <f t="shared" si="65"/>
        <v>212.23697592961446</v>
      </c>
      <c r="W71" s="300">
        <f t="shared" si="66"/>
        <v>272.87611190950429</v>
      </c>
      <c r="X71" s="300">
        <f t="shared" si="67"/>
        <v>343.62177055270905</v>
      </c>
      <c r="Y71" s="300">
        <f t="shared" si="68"/>
        <v>353.72829321602404</v>
      </c>
    </row>
    <row r="72" spans="1:26" x14ac:dyDescent="0.25">
      <c r="R72" s="225"/>
    </row>
    <row r="73" spans="1:26" x14ac:dyDescent="0.25">
      <c r="R73" s="286">
        <f>B81</f>
        <v>40</v>
      </c>
      <c r="S73" s="286">
        <f t="shared" ref="S73:Y73" si="69">_xlfn.FORECAST.LINEAR($B$81,S66:S71,$R$66:$R$71)</f>
        <v>0</v>
      </c>
      <c r="T73" s="286">
        <f t="shared" si="69"/>
        <v>0</v>
      </c>
      <c r="U73" s="286">
        <f t="shared" si="69"/>
        <v>187.92758483033933</v>
      </c>
      <c r="V73" s="286">
        <f t="shared" si="69"/>
        <v>285.12336148904882</v>
      </c>
      <c r="W73" s="286">
        <f t="shared" si="69"/>
        <v>375.34794056314831</v>
      </c>
      <c r="X73" s="286">
        <f t="shared" si="69"/>
        <v>466.46302330281549</v>
      </c>
      <c r="Y73" s="286">
        <f t="shared" si="69"/>
        <v>517.60323834118492</v>
      </c>
      <c r="Z73" s="286" t="s">
        <v>28</v>
      </c>
    </row>
    <row r="74" spans="1:26" x14ac:dyDescent="0.25">
      <c r="Q74" s="286" t="s">
        <v>28</v>
      </c>
      <c r="R74" s="292">
        <f>B80</f>
        <v>100</v>
      </c>
      <c r="S74" s="299">
        <f>_xlfn.FORECAST.LINEAR(R74,S65:Y65,S73:Y73)</f>
        <v>309.73563518649928</v>
      </c>
      <c r="T74" s="287" t="s">
        <v>18</v>
      </c>
    </row>
    <row r="78" spans="1:26" x14ac:dyDescent="0.25">
      <c r="A78" s="223" t="s">
        <v>346</v>
      </c>
      <c r="B78" s="288">
        <v>1670</v>
      </c>
      <c r="C78" s="286" t="s">
        <v>28</v>
      </c>
    </row>
    <row r="79" spans="1:26" x14ac:dyDescent="0.25">
      <c r="B79" s="288">
        <v>1000</v>
      </c>
      <c r="C79" s="286" t="s">
        <v>18</v>
      </c>
    </row>
    <row r="80" spans="1:26" x14ac:dyDescent="0.25">
      <c r="A80" s="286" t="s">
        <v>349</v>
      </c>
      <c r="B80" s="298">
        <f>Q</f>
        <v>100</v>
      </c>
      <c r="C80" s="286" t="s">
        <v>28</v>
      </c>
    </row>
    <row r="81" spans="1:23" x14ac:dyDescent="0.25">
      <c r="A81" s="286" t="s">
        <v>350</v>
      </c>
      <c r="B81" s="298">
        <f>Pavg</f>
        <v>40</v>
      </c>
      <c r="C81" s="286">
        <v>1000</v>
      </c>
      <c r="D81" s="286" t="s">
        <v>351</v>
      </c>
    </row>
    <row r="82" spans="1:23" x14ac:dyDescent="0.25">
      <c r="A82" s="286" t="s">
        <v>352</v>
      </c>
      <c r="B82" s="288">
        <v>0</v>
      </c>
      <c r="C82" s="286" t="s">
        <v>353</v>
      </c>
      <c r="E82" s="286" t="s">
        <v>354</v>
      </c>
    </row>
    <row r="83" spans="1:23" x14ac:dyDescent="0.25">
      <c r="A83" s="286" t="s">
        <v>355</v>
      </c>
      <c r="B83" s="288">
        <f>S74</f>
        <v>309.73563518649928</v>
      </c>
      <c r="T83" s="297">
        <v>100</v>
      </c>
      <c r="U83" s="294"/>
      <c r="V83" s="286">
        <v>200</v>
      </c>
    </row>
    <row r="84" spans="1:23" x14ac:dyDescent="0.25">
      <c r="A84" s="286" t="s">
        <v>356</v>
      </c>
      <c r="B84" s="288">
        <f>(1+(B81/C81*B82))*B83</f>
        <v>309.73563518649928</v>
      </c>
      <c r="T84" s="287" t="s">
        <v>347</v>
      </c>
      <c r="U84" s="286" t="s">
        <v>348</v>
      </c>
      <c r="V84" s="286" t="s">
        <v>347</v>
      </c>
      <c r="W84" s="286" t="s">
        <v>348</v>
      </c>
    </row>
    <row r="85" spans="1:23" x14ac:dyDescent="0.25">
      <c r="A85" s="286" t="s">
        <v>357</v>
      </c>
      <c r="T85" s="294">
        <f t="shared" ref="T85:T90" si="70">C88</f>
        <v>1.77</v>
      </c>
      <c r="U85" s="296">
        <f t="shared" ref="U85:U90" si="71">S66</f>
        <v>0</v>
      </c>
      <c r="V85" s="286">
        <f t="shared" ref="V85:V90" si="72">D88</f>
        <v>2.77</v>
      </c>
      <c r="W85" s="295">
        <f t="shared" ref="W85:W90" si="73">T66</f>
        <v>0</v>
      </c>
    </row>
    <row r="86" spans="1:23" x14ac:dyDescent="0.25">
      <c r="A86" s="221" t="s">
        <v>205</v>
      </c>
      <c r="E86" s="286" t="s">
        <v>358</v>
      </c>
      <c r="H86" s="286" t="s">
        <v>359</v>
      </c>
      <c r="T86" s="294">
        <f t="shared" si="70"/>
        <v>3.6</v>
      </c>
      <c r="U86" s="296">
        <f t="shared" si="71"/>
        <v>0</v>
      </c>
      <c r="V86" s="286">
        <f t="shared" si="72"/>
        <v>7.8</v>
      </c>
      <c r="W86" s="295">
        <f t="shared" si="73"/>
        <v>0</v>
      </c>
    </row>
    <row r="87" spans="1:23" x14ac:dyDescent="0.25">
      <c r="A87" s="219" t="s">
        <v>18</v>
      </c>
      <c r="B87" s="288">
        <v>0.1</v>
      </c>
      <c r="C87" s="220">
        <f>B12</f>
        <v>100</v>
      </c>
      <c r="D87" s="219">
        <f>B19</f>
        <v>200</v>
      </c>
      <c r="E87" s="219">
        <f>B26</f>
        <v>400</v>
      </c>
      <c r="F87" s="219">
        <f>B33</f>
        <v>600</v>
      </c>
      <c r="G87" s="219">
        <f>B40</f>
        <v>800</v>
      </c>
      <c r="H87" s="219">
        <f>B47</f>
        <v>1000</v>
      </c>
      <c r="I87" s="219">
        <f>B54</f>
        <v>1100</v>
      </c>
      <c r="J87" s="286">
        <f t="shared" ref="J87:J93" si="74">H87*10</f>
        <v>10000</v>
      </c>
      <c r="L87" s="219"/>
      <c r="M87" s="219"/>
      <c r="N87" s="219"/>
      <c r="O87" s="219"/>
      <c r="T87" s="294">
        <f t="shared" si="70"/>
        <v>7.2</v>
      </c>
      <c r="U87" s="296">
        <f t="shared" si="71"/>
        <v>0</v>
      </c>
      <c r="V87" s="286">
        <f t="shared" si="72"/>
        <v>13.200000000000001</v>
      </c>
      <c r="W87" s="295">
        <f t="shared" si="73"/>
        <v>0</v>
      </c>
    </row>
    <row r="88" spans="1:23" x14ac:dyDescent="0.25">
      <c r="A88" s="215">
        <f>AA4</f>
        <v>0</v>
      </c>
      <c r="B88" s="288">
        <f t="shared" ref="B88:B93" si="75">$Q$7</f>
        <v>0.22999999999999998</v>
      </c>
      <c r="C88" s="293">
        <f>F12</f>
        <v>1.77</v>
      </c>
      <c r="D88" s="291">
        <f>F19</f>
        <v>2.77</v>
      </c>
      <c r="E88" s="291">
        <f t="shared" ref="E88:E93" si="76">F26</f>
        <v>7.4063636363636363</v>
      </c>
      <c r="F88" s="291">
        <f t="shared" ref="F88:F93" si="77">F33</f>
        <v>12.860909090909091</v>
      </c>
      <c r="G88" s="291">
        <f t="shared" ref="G88:G93" si="78">F40</f>
        <v>21.834516129032259</v>
      </c>
      <c r="H88" s="291">
        <f t="shared" ref="H88:H93" si="79">F47</f>
        <v>20.497272727272726</v>
      </c>
      <c r="I88" s="291">
        <f t="shared" ref="I88:I93" si="80">F54</f>
        <v>27.640967741935484</v>
      </c>
      <c r="J88" s="286">
        <f t="shared" si="74"/>
        <v>204.97272727272727</v>
      </c>
      <c r="K88" s="292">
        <f t="shared" ref="K88:K93" ca="1" si="81">_xlfn.FORECAST.LINEAR(__RPM1,OFFSET(B88:H88,0,MATCH(__RPM1,$B$87:$H$87,1)-1,1,2),OFFSET($B$87:$H$87,0,MATCH(__RPM1,$B$87:$H$87,1)-1,1,2))</f>
        <v>5.3138715429597561</v>
      </c>
      <c r="L88" s="291"/>
      <c r="M88" s="291"/>
      <c r="N88" s="291"/>
      <c r="O88" s="291"/>
      <c r="T88" s="294">
        <f t="shared" si="70"/>
        <v>19.2</v>
      </c>
      <c r="U88" s="296">
        <f t="shared" si="71"/>
        <v>0</v>
      </c>
      <c r="V88" s="286">
        <f t="shared" si="72"/>
        <v>42</v>
      </c>
      <c r="W88" s="295">
        <f t="shared" si="73"/>
        <v>0</v>
      </c>
    </row>
    <row r="89" spans="1:23" x14ac:dyDescent="0.25">
      <c r="A89" s="215">
        <f>AA5</f>
        <v>500</v>
      </c>
      <c r="B89" s="288">
        <f t="shared" si="75"/>
        <v>0.22999999999999998</v>
      </c>
      <c r="C89" s="293">
        <f>E13</f>
        <v>3.6</v>
      </c>
      <c r="D89" s="291">
        <f>E20</f>
        <v>7.8</v>
      </c>
      <c r="E89" s="291">
        <f t="shared" si="76"/>
        <v>19.511935483870968</v>
      </c>
      <c r="F89" s="291">
        <f t="shared" si="77"/>
        <v>26.875882352941176</v>
      </c>
      <c r="G89" s="291">
        <f t="shared" si="78"/>
        <v>35.770000000000003</v>
      </c>
      <c r="H89" s="291">
        <f t="shared" si="79"/>
        <v>42.804482758620694</v>
      </c>
      <c r="I89" s="291">
        <f t="shared" si="80"/>
        <v>50.866774193548395</v>
      </c>
      <c r="J89" s="286">
        <f t="shared" si="74"/>
        <v>428.04482758620691</v>
      </c>
      <c r="K89" s="292">
        <f t="shared" ca="1" si="81"/>
        <v>14.226083397929401</v>
      </c>
      <c r="L89" s="291"/>
      <c r="M89" s="291"/>
      <c r="N89" s="291"/>
      <c r="O89" s="291"/>
      <c r="T89" s="294">
        <f t="shared" si="70"/>
        <v>26</v>
      </c>
      <c r="U89" s="296">
        <f t="shared" si="71"/>
        <v>0</v>
      </c>
      <c r="V89" s="286">
        <f t="shared" si="72"/>
        <v>58.8</v>
      </c>
      <c r="W89" s="295">
        <f t="shared" si="73"/>
        <v>0</v>
      </c>
    </row>
    <row r="90" spans="1:23" x14ac:dyDescent="0.25">
      <c r="A90" s="215">
        <f>AA6</f>
        <v>1000</v>
      </c>
      <c r="B90" s="288">
        <f t="shared" si="75"/>
        <v>0.22999999999999998</v>
      </c>
      <c r="C90" s="293">
        <f>E14</f>
        <v>7.2</v>
      </c>
      <c r="D90" s="291">
        <f>E21</f>
        <v>13.200000000000001</v>
      </c>
      <c r="E90" s="291">
        <f t="shared" si="76"/>
        <v>27.640967741935484</v>
      </c>
      <c r="F90" s="291">
        <f t="shared" si="77"/>
        <v>39.198571428571434</v>
      </c>
      <c r="G90" s="291">
        <f t="shared" si="78"/>
        <v>53.189354838709683</v>
      </c>
      <c r="H90" s="291">
        <f t="shared" si="79"/>
        <v>69.36999999999999</v>
      </c>
      <c r="I90" s="291">
        <f t="shared" si="80"/>
        <v>71.77</v>
      </c>
      <c r="J90" s="286">
        <f t="shared" si="74"/>
        <v>693.69999999999993</v>
      </c>
      <c r="K90" s="292">
        <f t="shared" ca="1" si="81"/>
        <v>21.123443839345182</v>
      </c>
      <c r="L90" s="291"/>
      <c r="M90" s="291"/>
      <c r="N90" s="291"/>
      <c r="O90" s="291"/>
      <c r="T90" s="294">
        <f t="shared" si="70"/>
        <v>36</v>
      </c>
      <c r="U90" s="296">
        <f t="shared" si="71"/>
        <v>0</v>
      </c>
      <c r="V90" s="286">
        <f t="shared" si="72"/>
        <v>79.2</v>
      </c>
      <c r="W90" s="295">
        <f t="shared" si="73"/>
        <v>0</v>
      </c>
    </row>
    <row r="91" spans="1:23" x14ac:dyDescent="0.25">
      <c r="A91" s="215">
        <f>AA7</f>
        <v>3000</v>
      </c>
      <c r="B91" s="288">
        <f t="shared" si="75"/>
        <v>0.22999999999999998</v>
      </c>
      <c r="C91" s="293">
        <f>E15</f>
        <v>19.2</v>
      </c>
      <c r="D91" s="291">
        <f>E22</f>
        <v>42</v>
      </c>
      <c r="E91" s="291">
        <f t="shared" si="76"/>
        <v>65.224545454545449</v>
      </c>
      <c r="F91" s="291">
        <f t="shared" si="77"/>
        <v>89.189354838709676</v>
      </c>
      <c r="G91" s="291">
        <f t="shared" si="78"/>
        <v>105.4474193548387</v>
      </c>
      <c r="H91" s="291">
        <f t="shared" si="79"/>
        <v>124.13363636363636</v>
      </c>
      <c r="I91" s="291">
        <f t="shared" si="80"/>
        <v>140.28612903225809</v>
      </c>
      <c r="J91" s="286">
        <f t="shared" si="74"/>
        <v>1241.3363636363636</v>
      </c>
      <c r="K91" s="292">
        <f t="shared" ca="1" si="81"/>
        <v>54.742801236861347</v>
      </c>
      <c r="L91" s="291"/>
      <c r="M91" s="291"/>
      <c r="N91" s="291"/>
      <c r="O91" s="291"/>
      <c r="T91" s="294"/>
      <c r="U91" s="294"/>
    </row>
    <row r="92" spans="1:23" x14ac:dyDescent="0.25">
      <c r="A92" s="215">
        <f>AA8</f>
        <v>4000</v>
      </c>
      <c r="B92" s="288">
        <f t="shared" si="75"/>
        <v>0.22999999999999998</v>
      </c>
      <c r="C92" s="293">
        <f>E16</f>
        <v>26</v>
      </c>
      <c r="D92" s="291">
        <f>E23</f>
        <v>58.8</v>
      </c>
      <c r="E92" s="291">
        <f t="shared" si="76"/>
        <v>84.693076923076916</v>
      </c>
      <c r="F92" s="291">
        <f t="shared" si="77"/>
        <v>112.49131147540983</v>
      </c>
      <c r="G92" s="291">
        <f t="shared" si="78"/>
        <v>136.80225806451614</v>
      </c>
      <c r="H92" s="291">
        <f t="shared" si="79"/>
        <v>157.70548387096775</v>
      </c>
      <c r="I92" s="291">
        <f t="shared" si="80"/>
        <v>178.60870967741937</v>
      </c>
      <c r="J92" s="286">
        <f t="shared" si="74"/>
        <v>1577.0548387096776</v>
      </c>
      <c r="K92" s="292">
        <f t="shared" ca="1" si="81"/>
        <v>73.00696621543365</v>
      </c>
      <c r="L92" s="291"/>
      <c r="M92" s="291"/>
      <c r="N92" s="291"/>
      <c r="O92" s="291"/>
    </row>
    <row r="93" spans="1:23" x14ac:dyDescent="0.25">
      <c r="A93" s="215">
        <f>AA9+0.1</f>
        <v>5000.1000000000004</v>
      </c>
      <c r="B93" s="288">
        <f t="shared" si="75"/>
        <v>0.22999999999999998</v>
      </c>
      <c r="C93" s="293">
        <f>E17</f>
        <v>36</v>
      </c>
      <c r="D93" s="291">
        <f>E24</f>
        <v>79.2</v>
      </c>
      <c r="E93" s="291">
        <f t="shared" si="76"/>
        <v>105.19857142857143</v>
      </c>
      <c r="F93" s="291">
        <f t="shared" si="77"/>
        <v>137.17000000000002</v>
      </c>
      <c r="G93" s="291">
        <f t="shared" si="78"/>
        <v>174.31545454545454</v>
      </c>
      <c r="H93" s="291">
        <f t="shared" si="79"/>
        <v>185.57645161290324</v>
      </c>
      <c r="I93" s="291">
        <f t="shared" si="80"/>
        <v>199.51193548387099</v>
      </c>
      <c r="J93" s="286">
        <f t="shared" si="74"/>
        <v>1855.7645161290325</v>
      </c>
      <c r="K93" s="292">
        <f t="shared" ca="1" si="81"/>
        <v>93.46484874827928</v>
      </c>
      <c r="L93" s="291"/>
      <c r="M93" s="291"/>
      <c r="N93" s="291"/>
      <c r="O93" s="291"/>
    </row>
    <row r="96" spans="1:23" x14ac:dyDescent="0.25">
      <c r="A96" s="286" t="s">
        <v>360</v>
      </c>
      <c r="B96" s="290">
        <f>B84</f>
        <v>309.73563518649928</v>
      </c>
      <c r="C96" s="286" t="s">
        <v>18</v>
      </c>
    </row>
    <row r="97" spans="1:3" x14ac:dyDescent="0.25">
      <c r="A97" s="286" t="s">
        <v>361</v>
      </c>
      <c r="B97" s="290">
        <f>B81</f>
        <v>40</v>
      </c>
      <c r="C97" s="286" t="s">
        <v>97</v>
      </c>
    </row>
    <row r="98" spans="1:3" x14ac:dyDescent="0.25">
      <c r="A98" s="286" t="s">
        <v>362</v>
      </c>
      <c r="B98" s="289">
        <f ca="1">_xlfn.FORECAST.LINEAR(Press1,OFFSET(K88:K93,MATCH(Press1,A88:A93,1)-1,0,2),OFFSET(A88:A93,MATCH(Press1,A88:A93,1)-1,0,2))</f>
        <v>6.0268484913573284</v>
      </c>
      <c r="C98" s="286" t="s">
        <v>19</v>
      </c>
    </row>
  </sheetData>
  <mergeCells count="7">
    <mergeCell ref="A2:S2"/>
    <mergeCell ref="C9:E9"/>
    <mergeCell ref="G9:O9"/>
    <mergeCell ref="S9:U9"/>
    <mergeCell ref="G10:I10"/>
    <mergeCell ref="J10:L10"/>
    <mergeCell ref="M10:O10"/>
  </mergeCells>
  <pageMargins left="0.70866141732283472" right="0.70866141732283472" top="0.74803149606299213" bottom="0.74803149606299213" header="0.31496062992125984" footer="0.31496062992125984"/>
  <pageSetup scale="63" orientation="landscape" r:id="rId1"/>
  <rowBreaks count="1" manualBreakCount="1">
    <brk id="55" max="13" man="1"/>
  </rowBreaks>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73B20-6B50-44FA-A7DD-8508830FEB9B}">
  <sheetPr codeName="Sheet18"/>
  <dimension ref="A1:F50"/>
  <sheetViews>
    <sheetView topLeftCell="A30" workbookViewId="0">
      <selection activeCell="B4" sqref="B4"/>
    </sheetView>
  </sheetViews>
  <sheetFormatPr defaultRowHeight="12.75" x14ac:dyDescent="0.2"/>
  <sheetData>
    <row r="1" spans="1:6" ht="75.75" thickBot="1" x14ac:dyDescent="0.25">
      <c r="A1" s="204" t="s">
        <v>408</v>
      </c>
    </row>
    <row r="2" spans="1:6" ht="30.75" thickBot="1" x14ac:dyDescent="0.25">
      <c r="A2" s="202" t="s">
        <v>409</v>
      </c>
      <c r="B2" s="202" t="s">
        <v>202</v>
      </c>
    </row>
    <row r="3" spans="1:6" ht="15.75" thickBot="1" x14ac:dyDescent="0.25">
      <c r="A3" s="202">
        <v>0</v>
      </c>
      <c r="B3" s="203">
        <v>2166.67</v>
      </c>
      <c r="E3">
        <f>Q</f>
        <v>100</v>
      </c>
      <c r="F3">
        <f>_xlfn.FORECAST.LINEAR(E3,B13:B18,A13:A18)</f>
        <v>359.51195238095238</v>
      </c>
    </row>
    <row r="4" spans="1:6" ht="15.75" thickBot="1" x14ac:dyDescent="0.25">
      <c r="A4" s="202">
        <v>100</v>
      </c>
      <c r="B4" s="203">
        <v>1921.67</v>
      </c>
    </row>
    <row r="5" spans="1:6" ht="15.75" thickBot="1" x14ac:dyDescent="0.25">
      <c r="A5" s="202">
        <v>250</v>
      </c>
      <c r="B5" s="203">
        <v>1865</v>
      </c>
    </row>
    <row r="6" spans="1:6" ht="15.75" thickBot="1" x14ac:dyDescent="0.25">
      <c r="A6" s="202">
        <v>500</v>
      </c>
      <c r="B6" s="203">
        <v>1823.33</v>
      </c>
      <c r="E6">
        <f>Q</f>
        <v>100</v>
      </c>
    </row>
    <row r="7" spans="1:6" ht="15.75" thickBot="1" x14ac:dyDescent="0.25">
      <c r="A7" s="202">
        <v>750</v>
      </c>
      <c r="B7" s="203">
        <v>1761.67</v>
      </c>
    </row>
    <row r="8" spans="1:6" ht="15.75" thickBot="1" x14ac:dyDescent="0.25">
      <c r="A8" s="202">
        <v>1000</v>
      </c>
      <c r="B8" s="203">
        <v>1730</v>
      </c>
      <c r="E8">
        <f>250*(-0.345)+2027.5</f>
        <v>1941.25</v>
      </c>
    </row>
    <row r="11" spans="1:6" ht="75.75" thickBot="1" x14ac:dyDescent="0.25">
      <c r="A11" s="205" t="s">
        <v>410</v>
      </c>
    </row>
    <row r="12" spans="1:6" ht="30.75" thickBot="1" x14ac:dyDescent="0.25">
      <c r="A12" s="206" t="s">
        <v>409</v>
      </c>
      <c r="B12" s="206" t="s">
        <v>202</v>
      </c>
    </row>
    <row r="13" spans="1:6" ht="15.75" thickBot="1" x14ac:dyDescent="0.25">
      <c r="A13" s="203">
        <v>0</v>
      </c>
      <c r="B13" s="203">
        <v>368.55</v>
      </c>
    </row>
    <row r="14" spans="1:6" ht="15.75" thickBot="1" x14ac:dyDescent="0.25">
      <c r="A14" s="203">
        <v>100</v>
      </c>
      <c r="B14" s="203">
        <v>359.46</v>
      </c>
    </row>
    <row r="15" spans="1:6" ht="15.75" thickBot="1" x14ac:dyDescent="0.25">
      <c r="A15" s="203">
        <v>500</v>
      </c>
      <c r="B15" s="203">
        <v>349.01</v>
      </c>
    </row>
    <row r="16" spans="1:6" ht="15.75" thickBot="1" x14ac:dyDescent="0.25">
      <c r="A16" s="203">
        <v>1000</v>
      </c>
      <c r="B16" s="203">
        <v>336.21</v>
      </c>
    </row>
    <row r="17" spans="1:5" ht="15.75" thickBot="1" x14ac:dyDescent="0.25">
      <c r="A17" s="203">
        <v>2000</v>
      </c>
      <c r="B17" s="203">
        <v>322.39999999999998</v>
      </c>
      <c r="E17">
        <f>500*(-0.0476)+723.77</f>
        <v>699.97</v>
      </c>
    </row>
    <row r="18" spans="1:5" ht="15.75" thickBot="1" x14ac:dyDescent="0.25">
      <c r="A18" s="203">
        <v>3000</v>
      </c>
      <c r="B18" s="203">
        <v>308.25</v>
      </c>
    </row>
    <row r="21" spans="1:5" ht="75.75" thickBot="1" x14ac:dyDescent="0.25">
      <c r="A21" s="205" t="s">
        <v>411</v>
      </c>
    </row>
    <row r="22" spans="1:5" ht="30.75" thickBot="1" x14ac:dyDescent="0.25">
      <c r="A22" s="206" t="s">
        <v>409</v>
      </c>
      <c r="B22" s="206" t="s">
        <v>202</v>
      </c>
    </row>
    <row r="23" spans="1:5" ht="15.75" thickBot="1" x14ac:dyDescent="0.25">
      <c r="A23" s="203">
        <v>0</v>
      </c>
      <c r="B23" s="203">
        <v>739.12</v>
      </c>
    </row>
    <row r="24" spans="1:5" ht="15.75" thickBot="1" x14ac:dyDescent="0.25">
      <c r="A24" s="203">
        <v>100</v>
      </c>
      <c r="B24" s="203">
        <v>711.5</v>
      </c>
    </row>
    <row r="25" spans="1:5" ht="15.75" thickBot="1" x14ac:dyDescent="0.25">
      <c r="A25" s="203">
        <v>500</v>
      </c>
      <c r="B25" s="203">
        <v>693.64</v>
      </c>
    </row>
    <row r="26" spans="1:5" ht="15.75" thickBot="1" x14ac:dyDescent="0.25">
      <c r="A26" s="203">
        <v>1000</v>
      </c>
      <c r="B26" s="203">
        <v>672.76</v>
      </c>
    </row>
    <row r="27" spans="1:5" ht="15.75" thickBot="1" x14ac:dyDescent="0.25">
      <c r="A27" s="203">
        <v>2000</v>
      </c>
      <c r="B27" s="203">
        <v>626.94000000000005</v>
      </c>
    </row>
    <row r="28" spans="1:5" ht="15.75" thickBot="1" x14ac:dyDescent="0.25">
      <c r="A28" s="203">
        <v>3000</v>
      </c>
      <c r="B28" s="203">
        <v>584.49</v>
      </c>
    </row>
    <row r="31" spans="1:5" ht="75.75" thickBot="1" x14ac:dyDescent="0.25">
      <c r="A31" s="205" t="s">
        <v>412</v>
      </c>
    </row>
    <row r="32" spans="1:5" ht="30.75" thickBot="1" x14ac:dyDescent="0.25">
      <c r="A32" s="206" t="s">
        <v>409</v>
      </c>
      <c r="B32" s="206" t="s">
        <v>202</v>
      </c>
    </row>
    <row r="33" spans="1:4" ht="15.75" thickBot="1" x14ac:dyDescent="0.25">
      <c r="A33" s="203">
        <v>0</v>
      </c>
      <c r="B33" s="203">
        <v>257.72000000000003</v>
      </c>
      <c r="D33">
        <f>FORECAST(4350,B33:B39,A33:A39)</f>
        <v>200.08956688008809</v>
      </c>
    </row>
    <row r="34" spans="1:4" ht="15.75" thickBot="1" x14ac:dyDescent="0.25">
      <c r="A34" s="203">
        <v>500</v>
      </c>
      <c r="B34" s="203">
        <v>242.56</v>
      </c>
    </row>
    <row r="35" spans="1:4" ht="15.75" thickBot="1" x14ac:dyDescent="0.25">
      <c r="A35" s="203">
        <v>1000</v>
      </c>
      <c r="B35" s="203">
        <v>237.5</v>
      </c>
    </row>
    <row r="36" spans="1:4" ht="15.75" thickBot="1" x14ac:dyDescent="0.25">
      <c r="A36" s="203">
        <v>3000</v>
      </c>
      <c r="B36" s="203">
        <v>212.24</v>
      </c>
    </row>
    <row r="37" spans="1:4" ht="15.75" thickBot="1" x14ac:dyDescent="0.25">
      <c r="A37" s="203">
        <v>4000</v>
      </c>
      <c r="B37" s="203">
        <v>202.13</v>
      </c>
    </row>
    <row r="38" spans="1:4" ht="15.75" thickBot="1" x14ac:dyDescent="0.25">
      <c r="A38" s="203">
        <v>4350</v>
      </c>
      <c r="B38" s="203">
        <v>200.09</v>
      </c>
    </row>
    <row r="39" spans="1:4" ht="15.75" thickBot="1" x14ac:dyDescent="0.25">
      <c r="A39" s="203">
        <v>5000</v>
      </c>
      <c r="B39" s="203">
        <v>197.08</v>
      </c>
    </row>
    <row r="42" spans="1:4" ht="75.75" thickBot="1" x14ac:dyDescent="0.25">
      <c r="A42" s="205" t="s">
        <v>413</v>
      </c>
    </row>
    <row r="43" spans="1:4" ht="30.75" thickBot="1" x14ac:dyDescent="0.25">
      <c r="A43" s="206" t="s">
        <v>409</v>
      </c>
      <c r="B43" s="206" t="s">
        <v>202</v>
      </c>
    </row>
    <row r="44" spans="1:4" ht="15.75" thickBot="1" x14ac:dyDescent="0.25">
      <c r="A44" s="203">
        <v>0</v>
      </c>
      <c r="B44" s="203">
        <v>525.54</v>
      </c>
    </row>
    <row r="45" spans="1:4" ht="15.75" thickBot="1" x14ac:dyDescent="0.25">
      <c r="A45" s="203">
        <v>500</v>
      </c>
      <c r="B45" s="203">
        <v>495.22</v>
      </c>
      <c r="D45">
        <f>FORECAST(4350,B44:B50,A44:A50)</f>
        <v>381.96882231943681</v>
      </c>
    </row>
    <row r="46" spans="1:4" ht="15.75" thickBot="1" x14ac:dyDescent="0.25">
      <c r="A46" s="203">
        <v>1000</v>
      </c>
      <c r="B46" s="203">
        <v>480.06</v>
      </c>
    </row>
    <row r="47" spans="1:4" ht="15.75" thickBot="1" x14ac:dyDescent="0.25">
      <c r="A47" s="203">
        <v>3000</v>
      </c>
      <c r="B47" s="203">
        <v>439.63</v>
      </c>
    </row>
    <row r="48" spans="1:4" ht="15.75" thickBot="1" x14ac:dyDescent="0.25">
      <c r="A48" s="203">
        <v>4000</v>
      </c>
      <c r="B48" s="203">
        <v>394.15</v>
      </c>
    </row>
    <row r="49" spans="1:2" ht="15.75" thickBot="1" x14ac:dyDescent="0.25">
      <c r="A49" s="203">
        <v>4350</v>
      </c>
      <c r="B49" s="203">
        <v>381.97</v>
      </c>
    </row>
    <row r="50" spans="1:2" ht="15.75" thickBot="1" x14ac:dyDescent="0.25">
      <c r="A50" s="203">
        <v>5000</v>
      </c>
      <c r="B50" s="203">
        <v>353.73</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491DB-CBD5-493B-9532-1D1DD8BB8AC9}">
  <sheetPr codeName="Sheet19"/>
  <dimension ref="A1:H10"/>
  <sheetViews>
    <sheetView zoomScale="115" zoomScaleNormal="115" workbookViewId="0">
      <selection activeCell="G22" sqref="G22"/>
    </sheetView>
  </sheetViews>
  <sheetFormatPr defaultRowHeight="12.75" x14ac:dyDescent="0.2"/>
  <cols>
    <col min="1" max="1" width="7.5703125" bestFit="1" customWidth="1"/>
    <col min="2" max="2" width="5.28515625" bestFit="1" customWidth="1"/>
    <col min="3" max="3" width="7.85546875" bestFit="1" customWidth="1"/>
    <col min="4" max="4" width="5" bestFit="1" customWidth="1"/>
    <col min="6" max="6" width="20.85546875" bestFit="1" customWidth="1"/>
    <col min="7" max="7" width="88.85546875" bestFit="1" customWidth="1"/>
    <col min="8" max="8" width="73" bestFit="1" customWidth="1"/>
  </cols>
  <sheetData>
    <row r="1" spans="1:8" x14ac:dyDescent="0.2">
      <c r="A1" t="s">
        <v>414</v>
      </c>
      <c r="B1" t="s">
        <v>51</v>
      </c>
      <c r="C1" t="s">
        <v>415</v>
      </c>
      <c r="D1" t="s">
        <v>416</v>
      </c>
      <c r="F1" t="s">
        <v>417</v>
      </c>
      <c r="G1" t="s">
        <v>418</v>
      </c>
    </row>
    <row r="2" spans="1:8" x14ac:dyDescent="0.2">
      <c r="A2" t="s">
        <v>419</v>
      </c>
      <c r="B2">
        <v>24</v>
      </c>
      <c r="C2" t="s">
        <v>420</v>
      </c>
      <c r="D2">
        <v>100</v>
      </c>
      <c r="F2" t="s">
        <v>421</v>
      </c>
      <c r="G2" s="20" t="s">
        <v>422</v>
      </c>
      <c r="H2" s="20" t="s">
        <v>423</v>
      </c>
    </row>
    <row r="3" spans="1:8" x14ac:dyDescent="0.2">
      <c r="A3" t="s">
        <v>424</v>
      </c>
      <c r="B3">
        <v>12</v>
      </c>
      <c r="C3" t="s">
        <v>425</v>
      </c>
      <c r="D3">
        <v>150</v>
      </c>
      <c r="F3" t="s">
        <v>426</v>
      </c>
      <c r="G3" s="20" t="s">
        <v>427</v>
      </c>
      <c r="H3" s="20" t="s">
        <v>428</v>
      </c>
    </row>
    <row r="4" spans="1:8" x14ac:dyDescent="0.2">
      <c r="A4" t="s">
        <v>429</v>
      </c>
      <c r="D4">
        <v>300</v>
      </c>
      <c r="F4" t="s">
        <v>430</v>
      </c>
    </row>
    <row r="5" spans="1:8" x14ac:dyDescent="0.2">
      <c r="D5">
        <v>500</v>
      </c>
      <c r="F5" t="s">
        <v>431</v>
      </c>
      <c r="G5" t="s">
        <v>432</v>
      </c>
    </row>
    <row r="6" spans="1:8" x14ac:dyDescent="0.2">
      <c r="F6" t="s">
        <v>433</v>
      </c>
      <c r="G6" t="s">
        <v>434</v>
      </c>
    </row>
    <row r="7" spans="1:8" x14ac:dyDescent="0.2">
      <c r="F7" t="s">
        <v>435</v>
      </c>
      <c r="G7" t="s">
        <v>436</v>
      </c>
    </row>
    <row r="8" spans="1:8" x14ac:dyDescent="0.2">
      <c r="F8" t="s">
        <v>437</v>
      </c>
      <c r="G8" t="s">
        <v>434</v>
      </c>
    </row>
    <row r="9" spans="1:8" x14ac:dyDescent="0.2">
      <c r="F9" t="s">
        <v>438</v>
      </c>
      <c r="G9" t="s">
        <v>434</v>
      </c>
    </row>
    <row r="10" spans="1:8" x14ac:dyDescent="0.2">
      <c r="F10" t="s">
        <v>439</v>
      </c>
      <c r="G10" s="20" t="s">
        <v>440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U49"/>
  <sheetViews>
    <sheetView zoomScaleNormal="100" workbookViewId="0">
      <selection activeCell="Q32" sqref="Q32"/>
    </sheetView>
  </sheetViews>
  <sheetFormatPr defaultColWidth="8.85546875" defaultRowHeight="12.75" x14ac:dyDescent="0.2"/>
  <cols>
    <col min="1" max="1" width="8.85546875" customWidth="1"/>
    <col min="2" max="2" width="29.85546875" customWidth="1"/>
    <col min="3" max="3" width="7" customWidth="1"/>
    <col min="4" max="4" width="8.85546875" customWidth="1"/>
    <col min="5" max="5" width="14.7109375" customWidth="1"/>
    <col min="6" max="6" width="14.5703125" customWidth="1"/>
    <col min="7" max="7" width="8.85546875" customWidth="1"/>
    <col min="12" max="12" width="9.5703125" bestFit="1" customWidth="1"/>
  </cols>
  <sheetData>
    <row r="1" spans="1:17" s="132" customFormat="1" ht="169.5" customHeight="1" x14ac:dyDescent="0.2">
      <c r="A1" s="131" t="s">
        <v>153</v>
      </c>
      <c r="C1" s="132" t="str">
        <f>A1</f>
        <v>Data Summary Table</v>
      </c>
      <c r="E1" s="131" t="s">
        <v>13</v>
      </c>
      <c r="H1" s="131" t="s">
        <v>154</v>
      </c>
      <c r="I1" s="131" t="s">
        <v>155</v>
      </c>
      <c r="J1" s="131" t="s">
        <v>156</v>
      </c>
      <c r="K1" s="131" t="s">
        <v>157</v>
      </c>
      <c r="L1" s="131" t="s">
        <v>158</v>
      </c>
      <c r="M1" s="131" t="s">
        <v>25</v>
      </c>
      <c r="N1" s="131" t="s">
        <v>159</v>
      </c>
      <c r="O1" s="131" t="s">
        <v>159</v>
      </c>
      <c r="P1" s="131" t="s">
        <v>160</v>
      </c>
    </row>
    <row r="2" spans="1:17" x14ac:dyDescent="0.2">
      <c r="A2" s="122" t="s">
        <v>161</v>
      </c>
      <c r="B2" s="122" t="s">
        <v>162</v>
      </c>
      <c r="C2" s="19" t="str">
        <f>A2</f>
        <v>Set</v>
      </c>
      <c r="D2" s="122" t="s">
        <v>163</v>
      </c>
      <c r="E2" s="122" t="s">
        <v>164</v>
      </c>
      <c r="F2" s="122" t="s">
        <v>165</v>
      </c>
      <c r="G2" s="91" t="s">
        <v>166</v>
      </c>
      <c r="H2" s="91" t="s">
        <v>97</v>
      </c>
      <c r="I2" s="91" t="s">
        <v>18</v>
      </c>
      <c r="J2" s="91" t="s">
        <v>28</v>
      </c>
      <c r="K2" s="91"/>
      <c r="N2" s="91" t="s">
        <v>167</v>
      </c>
      <c r="O2" s="91" t="s">
        <v>168</v>
      </c>
      <c r="P2" s="91" t="s">
        <v>169</v>
      </c>
      <c r="Q2" s="91" t="s">
        <v>170</v>
      </c>
    </row>
    <row r="3" spans="1:17" ht="15" x14ac:dyDescent="0.25">
      <c r="A3">
        <v>0</v>
      </c>
      <c r="B3" s="102" t="s">
        <v>171</v>
      </c>
      <c r="C3">
        <v>1</v>
      </c>
      <c r="E3">
        <f>'DH -COMET_100'!B83</f>
        <v>92.9046977026006</v>
      </c>
      <c r="F3">
        <f ca="1">'DH -COMET_100'!B97</f>
        <v>6.7802094444548242</v>
      </c>
      <c r="G3">
        <v>32</v>
      </c>
      <c r="H3">
        <v>1000</v>
      </c>
      <c r="I3">
        <v>1000</v>
      </c>
      <c r="J3">
        <f>Pavg*P3+Q3</f>
        <v>1952.9680000000001</v>
      </c>
      <c r="K3">
        <v>0</v>
      </c>
      <c r="L3">
        <v>0</v>
      </c>
      <c r="M3">
        <v>300</v>
      </c>
      <c r="P3" s="130">
        <v>-0.67579999999999996</v>
      </c>
      <c r="Q3" s="130">
        <v>1980</v>
      </c>
    </row>
    <row r="4" spans="1:17" ht="15" x14ac:dyDescent="0.25">
      <c r="A4">
        <v>1</v>
      </c>
      <c r="B4" s="102" t="s">
        <v>172</v>
      </c>
      <c r="C4">
        <v>2</v>
      </c>
      <c r="E4">
        <f>'DH -F2_100'!B82</f>
        <v>49.264715657150468</v>
      </c>
      <c r="F4">
        <f ca="1">'DH -F2_100'!B97</f>
        <v>6.9454693526075122</v>
      </c>
      <c r="G4">
        <v>32</v>
      </c>
      <c r="H4">
        <v>1000</v>
      </c>
      <c r="I4">
        <v>600</v>
      </c>
      <c r="J4">
        <f>Pavg*P4+Q4</f>
        <v>1221.0240000000001</v>
      </c>
      <c r="K4">
        <v>0</v>
      </c>
      <c r="L4">
        <v>0</v>
      </c>
      <c r="M4">
        <v>20</v>
      </c>
      <c r="P4" s="130">
        <v>-5.4399999999999997E-2</v>
      </c>
      <c r="Q4" s="130">
        <v>1223.2</v>
      </c>
    </row>
    <row r="5" spans="1:17" ht="15" x14ac:dyDescent="0.25">
      <c r="A5">
        <v>2</v>
      </c>
      <c r="B5" s="102" t="s">
        <v>173</v>
      </c>
      <c r="C5">
        <v>3</v>
      </c>
      <c r="E5" s="129">
        <f>E7</f>
        <v>296.67072887176334</v>
      </c>
      <c r="F5" s="129">
        <f ca="1">F7</f>
        <v>20.885001512539233</v>
      </c>
      <c r="G5">
        <v>16</v>
      </c>
      <c r="H5">
        <v>1500</v>
      </c>
      <c r="I5">
        <v>166</v>
      </c>
      <c r="J5">
        <f>M33</f>
        <v>47.317599999999999</v>
      </c>
      <c r="K5">
        <v>1</v>
      </c>
      <c r="L5">
        <v>1</v>
      </c>
      <c r="M5">
        <v>20</v>
      </c>
      <c r="N5">
        <v>50</v>
      </c>
      <c r="O5">
        <v>50</v>
      </c>
      <c r="P5" s="129">
        <f>P11</f>
        <v>-1.09E-2</v>
      </c>
      <c r="Q5" s="129">
        <f>O5</f>
        <v>50</v>
      </c>
    </row>
    <row r="6" spans="1:17" ht="15" x14ac:dyDescent="0.25">
      <c r="A6">
        <v>3</v>
      </c>
      <c r="B6" s="102" t="s">
        <v>174</v>
      </c>
      <c r="C6">
        <v>4</v>
      </c>
      <c r="E6" s="129">
        <f>E8</f>
        <v>147.95700447811404</v>
      </c>
      <c r="F6" s="129">
        <f ca="1">F8</f>
        <v>13.165341071471</v>
      </c>
      <c r="G6">
        <v>16</v>
      </c>
      <c r="H6">
        <v>1500</v>
      </c>
      <c r="I6">
        <v>166</v>
      </c>
      <c r="J6">
        <f>M35</f>
        <v>94.635199999999998</v>
      </c>
      <c r="K6">
        <v>1</v>
      </c>
      <c r="L6">
        <v>1</v>
      </c>
      <c r="M6">
        <v>20</v>
      </c>
      <c r="N6">
        <v>100</v>
      </c>
      <c r="O6">
        <v>100</v>
      </c>
      <c r="P6" s="129">
        <f>P12</f>
        <v>-2.18E-2</v>
      </c>
      <c r="Q6" s="129">
        <f>O6</f>
        <v>100</v>
      </c>
    </row>
    <row r="7" spans="1:17" ht="15" x14ac:dyDescent="0.25">
      <c r="A7">
        <v>4</v>
      </c>
      <c r="B7" s="102" t="s">
        <v>175</v>
      </c>
      <c r="C7">
        <v>5</v>
      </c>
      <c r="E7">
        <f>F2_300_SH!$B$83</f>
        <v>296.67072887176334</v>
      </c>
      <c r="F7">
        <f ca="1">F2_300_SH!$B$97</f>
        <v>20.885001512539233</v>
      </c>
      <c r="G7">
        <v>32</v>
      </c>
      <c r="H7">
        <v>1500</v>
      </c>
      <c r="I7">
        <v>166</v>
      </c>
      <c r="J7">
        <f>J5</f>
        <v>47.317599999999999</v>
      </c>
      <c r="K7">
        <v>1</v>
      </c>
      <c r="L7">
        <v>1</v>
      </c>
      <c r="M7">
        <v>20</v>
      </c>
      <c r="N7">
        <v>50</v>
      </c>
      <c r="O7">
        <v>50</v>
      </c>
      <c r="P7" s="129">
        <f>P11</f>
        <v>-1.09E-2</v>
      </c>
      <c r="Q7" s="129">
        <f>O7</f>
        <v>50</v>
      </c>
    </row>
    <row r="8" spans="1:17" ht="15" x14ac:dyDescent="0.25">
      <c r="A8">
        <v>5</v>
      </c>
      <c r="B8" s="102" t="s">
        <v>176</v>
      </c>
      <c r="C8">
        <v>6</v>
      </c>
      <c r="E8">
        <f>F2_300_DH!$B$83</f>
        <v>147.95700447811404</v>
      </c>
      <c r="F8">
        <f ca="1">F2_300_DH!$B$97</f>
        <v>13.165341071471</v>
      </c>
      <c r="G8">
        <v>32</v>
      </c>
      <c r="H8">
        <v>1500</v>
      </c>
      <c r="I8">
        <v>166</v>
      </c>
      <c r="J8">
        <f>J6</f>
        <v>94.635199999999998</v>
      </c>
      <c r="K8">
        <v>1</v>
      </c>
      <c r="L8">
        <v>1</v>
      </c>
      <c r="M8">
        <v>20</v>
      </c>
      <c r="N8">
        <v>100</v>
      </c>
      <c r="O8">
        <v>100</v>
      </c>
      <c r="P8" s="133">
        <f>P12</f>
        <v>-2.18E-2</v>
      </c>
      <c r="Q8" s="129">
        <f>O8</f>
        <v>100</v>
      </c>
    </row>
    <row r="9" spans="1:17" ht="15.75" customHeight="1" x14ac:dyDescent="0.25">
      <c r="A9">
        <v>6</v>
      </c>
      <c r="B9" s="102" t="s">
        <v>177</v>
      </c>
      <c r="C9">
        <v>7</v>
      </c>
      <c r="E9" s="129">
        <f>E11</f>
        <v>296.67072887176334</v>
      </c>
      <c r="F9" s="129">
        <f ca="1">F11</f>
        <v>20.885001512539233</v>
      </c>
      <c r="G9">
        <v>16</v>
      </c>
      <c r="H9">
        <v>3000</v>
      </c>
      <c r="I9">
        <v>300</v>
      </c>
      <c r="J9">
        <f>MIN(Pavg*P9+Q9, N9)</f>
        <v>102.282</v>
      </c>
      <c r="K9">
        <v>1</v>
      </c>
      <c r="L9">
        <v>1</v>
      </c>
      <c r="M9">
        <v>20</v>
      </c>
      <c r="N9">
        <v>102.5</v>
      </c>
      <c r="O9">
        <f t="shared" ref="O9:O15" si="0">0.946352*N9</f>
        <v>97.001080000000002</v>
      </c>
      <c r="P9" s="129">
        <f>P12/4</f>
        <v>-5.45E-3</v>
      </c>
      <c r="Q9" s="129">
        <f>Q12/4</f>
        <v>102.5</v>
      </c>
    </row>
    <row r="10" spans="1:17" ht="15" x14ac:dyDescent="0.25">
      <c r="A10">
        <v>7</v>
      </c>
      <c r="B10" s="102" t="s">
        <v>178</v>
      </c>
      <c r="C10">
        <v>8</v>
      </c>
      <c r="E10" s="129">
        <f>E12</f>
        <v>147.95700447811404</v>
      </c>
      <c r="F10" s="129">
        <f ca="1">F12</f>
        <v>13.165341071471</v>
      </c>
      <c r="G10">
        <v>16</v>
      </c>
      <c r="H10">
        <v>3000</v>
      </c>
      <c r="I10">
        <v>300</v>
      </c>
      <c r="J10">
        <f>MIN(Pavg*P10+Q10, N10)</f>
        <v>204.56399999999999</v>
      </c>
      <c r="K10">
        <v>1</v>
      </c>
      <c r="L10">
        <v>1</v>
      </c>
      <c r="M10">
        <v>20</v>
      </c>
      <c r="N10">
        <v>205</v>
      </c>
      <c r="O10">
        <f t="shared" si="0"/>
        <v>194.00216</v>
      </c>
      <c r="P10" s="129">
        <f>P12/2</f>
        <v>-1.09E-2</v>
      </c>
      <c r="Q10" s="129">
        <f>Q12/2</f>
        <v>205</v>
      </c>
    </row>
    <row r="11" spans="1:17" ht="15" x14ac:dyDescent="0.25">
      <c r="A11">
        <v>8</v>
      </c>
      <c r="B11" s="102" t="s">
        <v>179</v>
      </c>
      <c r="C11">
        <v>9</v>
      </c>
      <c r="E11">
        <f>F2_300_SH!$B$83</f>
        <v>296.67072887176334</v>
      </c>
      <c r="F11">
        <f ca="1">F2_300_SH!$B$97</f>
        <v>20.885001512539233</v>
      </c>
      <c r="G11">
        <v>32</v>
      </c>
      <c r="H11">
        <v>3000</v>
      </c>
      <c r="I11">
        <v>600</v>
      </c>
      <c r="J11">
        <f>MIN(Pavg*P11+Q11, N11)</f>
        <v>204.56399999999999</v>
      </c>
      <c r="K11">
        <v>1</v>
      </c>
      <c r="L11">
        <v>1</v>
      </c>
      <c r="M11">
        <v>20</v>
      </c>
      <c r="N11">
        <v>205</v>
      </c>
      <c r="O11">
        <f t="shared" si="0"/>
        <v>194.00216</v>
      </c>
      <c r="P11" s="129">
        <f>P12/2</f>
        <v>-1.09E-2</v>
      </c>
      <c r="Q11" s="129">
        <f>Q12/2</f>
        <v>205</v>
      </c>
    </row>
    <row r="12" spans="1:17" ht="15" x14ac:dyDescent="0.25">
      <c r="A12">
        <v>9</v>
      </c>
      <c r="B12" s="102" t="s">
        <v>180</v>
      </c>
      <c r="C12">
        <v>10</v>
      </c>
      <c r="E12">
        <f>F2_300_DH!$B$83</f>
        <v>147.95700447811404</v>
      </c>
      <c r="F12">
        <f ca="1">F2_300_DH!$B$97</f>
        <v>13.165341071471</v>
      </c>
      <c r="G12">
        <v>32</v>
      </c>
      <c r="H12">
        <v>3000</v>
      </c>
      <c r="I12">
        <v>600</v>
      </c>
      <c r="J12">
        <f>MIN(Pavg*P12+Q12, O12)</f>
        <v>409.12799999999999</v>
      </c>
      <c r="K12">
        <v>1</v>
      </c>
      <c r="L12">
        <v>1</v>
      </c>
      <c r="M12">
        <v>20</v>
      </c>
      <c r="N12">
        <v>410</v>
      </c>
      <c r="O12">
        <v>410</v>
      </c>
      <c r="P12" s="130">
        <v>-2.18E-2</v>
      </c>
      <c r="Q12" s="130">
        <f>O12</f>
        <v>410</v>
      </c>
    </row>
    <row r="13" spans="1:17" ht="15" x14ac:dyDescent="0.25">
      <c r="A13">
        <v>10</v>
      </c>
      <c r="B13" s="102" t="s">
        <v>181</v>
      </c>
      <c r="C13">
        <v>11</v>
      </c>
      <c r="E13" s="129">
        <f>E15</f>
        <v>442.33496618102913</v>
      </c>
      <c r="F13" s="129">
        <f ca="1">F15</f>
        <v>27.394253169846081</v>
      </c>
      <c r="G13">
        <v>16</v>
      </c>
      <c r="H13">
        <v>5000</v>
      </c>
      <c r="I13">
        <v>300</v>
      </c>
      <c r="J13">
        <f t="shared" ref="J13:J16" si="1">MIN(Pavg*P13+Q13, O13)</f>
        <v>66.244640000000004</v>
      </c>
      <c r="K13">
        <v>1</v>
      </c>
      <c r="L13">
        <v>2</v>
      </c>
      <c r="M13">
        <v>20</v>
      </c>
      <c r="N13">
        <v>70</v>
      </c>
      <c r="O13">
        <f t="shared" si="0"/>
        <v>66.244640000000004</v>
      </c>
      <c r="P13" s="129">
        <f>P16/4</f>
        <v>-3.15E-3</v>
      </c>
      <c r="Q13" s="129">
        <f>Q16/4</f>
        <v>70</v>
      </c>
    </row>
    <row r="14" spans="1:17" ht="15" x14ac:dyDescent="0.25">
      <c r="A14">
        <v>11</v>
      </c>
      <c r="B14" s="102" t="s">
        <v>182</v>
      </c>
      <c r="C14">
        <v>12</v>
      </c>
      <c r="E14" s="129">
        <f>E16</f>
        <v>216.80522666336168</v>
      </c>
      <c r="F14" s="129">
        <f ca="1">F16</f>
        <v>14.48948454897298</v>
      </c>
      <c r="G14">
        <v>16</v>
      </c>
      <c r="H14">
        <v>5000</v>
      </c>
      <c r="I14">
        <v>300</v>
      </c>
      <c r="J14">
        <f t="shared" si="1"/>
        <v>132.48928000000001</v>
      </c>
      <c r="K14">
        <v>1</v>
      </c>
      <c r="L14">
        <v>2</v>
      </c>
      <c r="M14">
        <v>20</v>
      </c>
      <c r="N14">
        <v>140</v>
      </c>
      <c r="O14">
        <f t="shared" si="0"/>
        <v>132.48928000000001</v>
      </c>
      <c r="P14" s="129">
        <f>P16/2</f>
        <v>-6.3E-3</v>
      </c>
      <c r="Q14" s="129">
        <f>Q16/2</f>
        <v>140</v>
      </c>
    </row>
    <row r="15" spans="1:17" ht="15" x14ac:dyDescent="0.25">
      <c r="A15">
        <v>12</v>
      </c>
      <c r="B15" s="102" t="s">
        <v>183</v>
      </c>
      <c r="C15">
        <v>13</v>
      </c>
      <c r="E15">
        <f>F2_500_SH!B83</f>
        <v>442.33496618102913</v>
      </c>
      <c r="F15">
        <f ca="1">F2_500_SH!B97</f>
        <v>27.394253169846081</v>
      </c>
      <c r="G15">
        <v>32</v>
      </c>
      <c r="H15">
        <v>5000</v>
      </c>
      <c r="I15">
        <v>600</v>
      </c>
      <c r="J15">
        <f t="shared" si="1"/>
        <v>132.48928000000001</v>
      </c>
      <c r="K15">
        <v>1</v>
      </c>
      <c r="L15">
        <v>2</v>
      </c>
      <c r="M15">
        <v>20</v>
      </c>
      <c r="N15">
        <v>140</v>
      </c>
      <c r="O15">
        <f t="shared" si="0"/>
        <v>132.48928000000001</v>
      </c>
      <c r="P15" s="129">
        <f>P16/2</f>
        <v>-6.3E-3</v>
      </c>
      <c r="Q15" s="129">
        <f>Q16/2</f>
        <v>140</v>
      </c>
    </row>
    <row r="16" spans="1:17" ht="15" x14ac:dyDescent="0.25">
      <c r="A16">
        <v>13</v>
      </c>
      <c r="B16" s="102" t="s">
        <v>184</v>
      </c>
      <c r="C16">
        <v>14</v>
      </c>
      <c r="E16">
        <f>F2_500_DH!B83</f>
        <v>216.80522666336168</v>
      </c>
      <c r="F16">
        <f ca="1">F2_500_DH!B97</f>
        <v>14.48948454897298</v>
      </c>
      <c r="G16">
        <v>32</v>
      </c>
      <c r="H16">
        <v>5000</v>
      </c>
      <c r="I16">
        <v>600</v>
      </c>
      <c r="J16">
        <f t="shared" si="1"/>
        <v>279.49599999999998</v>
      </c>
      <c r="K16">
        <v>1</v>
      </c>
      <c r="L16">
        <v>2</v>
      </c>
      <c r="M16">
        <v>20</v>
      </c>
      <c r="N16">
        <v>280</v>
      </c>
      <c r="O16">
        <v>280</v>
      </c>
      <c r="P16" s="130">
        <v>-1.26E-2</v>
      </c>
      <c r="Q16" s="130">
        <f>O16</f>
        <v>280</v>
      </c>
    </row>
    <row r="17" spans="1:17" ht="15" x14ac:dyDescent="0.25">
      <c r="A17">
        <v>14</v>
      </c>
      <c r="B17" s="102" t="s">
        <v>185</v>
      </c>
      <c r="C17">
        <v>15</v>
      </c>
      <c r="E17">
        <f>COMET2_SH300!B83</f>
        <v>330.04746310688563</v>
      </c>
      <c r="F17">
        <f ca="1">COMET2_SH300!B97</f>
        <v>18.565266904313823</v>
      </c>
      <c r="G17">
        <v>32</v>
      </c>
      <c r="H17">
        <v>3000</v>
      </c>
      <c r="I17">
        <v>1000</v>
      </c>
      <c r="J17">
        <f>Pavg*P17+Q17</f>
        <v>320.95400000000001</v>
      </c>
      <c r="K17">
        <v>1</v>
      </c>
      <c r="L17">
        <v>1</v>
      </c>
      <c r="M17">
        <v>300</v>
      </c>
      <c r="P17" s="130">
        <v>-3.1899999999999998E-2</v>
      </c>
      <c r="Q17" s="130">
        <v>322.23</v>
      </c>
    </row>
    <row r="18" spans="1:17" ht="15" x14ac:dyDescent="0.25">
      <c r="A18">
        <v>15</v>
      </c>
      <c r="B18" s="102" t="s">
        <v>186</v>
      </c>
      <c r="C18">
        <v>16</v>
      </c>
      <c r="E18">
        <f>E17</f>
        <v>330.04746310688563</v>
      </c>
      <c r="F18" s="20">
        <f ca="1">F17*G46</f>
        <v>23.206583630392281</v>
      </c>
      <c r="G18">
        <v>16</v>
      </c>
      <c r="H18">
        <v>3000</v>
      </c>
      <c r="I18">
        <v>1000</v>
      </c>
      <c r="J18">
        <f>J17</f>
        <v>320.95400000000001</v>
      </c>
      <c r="K18">
        <v>1</v>
      </c>
      <c r="L18">
        <v>1</v>
      </c>
      <c r="M18">
        <v>300</v>
      </c>
      <c r="P18" s="129">
        <v>-3.1899999999999998E-2</v>
      </c>
      <c r="Q18" s="129">
        <v>322.23</v>
      </c>
    </row>
    <row r="19" spans="1:17" ht="15" x14ac:dyDescent="0.25">
      <c r="A19">
        <v>16</v>
      </c>
      <c r="B19" s="102" t="s">
        <v>187</v>
      </c>
      <c r="C19">
        <v>17</v>
      </c>
      <c r="E19">
        <f>COMET2_DH300!B83</f>
        <v>166.67952788795341</v>
      </c>
      <c r="F19">
        <f ca="1">COMET2_DH300!B97</f>
        <v>11.382515477749171</v>
      </c>
      <c r="G19">
        <v>32</v>
      </c>
      <c r="H19">
        <v>3000</v>
      </c>
      <c r="I19">
        <v>1000</v>
      </c>
      <c r="J19">
        <f>Pavg*P19+Q19</f>
        <v>612.74</v>
      </c>
      <c r="K19">
        <v>1</v>
      </c>
      <c r="L19">
        <v>1</v>
      </c>
      <c r="M19">
        <v>300</v>
      </c>
      <c r="P19" s="130">
        <v>-9.0499999999999997E-2</v>
      </c>
      <c r="Q19" s="329">
        <v>616.36</v>
      </c>
    </row>
    <row r="20" spans="1:17" ht="15" x14ac:dyDescent="0.25">
      <c r="A20">
        <v>17</v>
      </c>
      <c r="B20" s="102" t="s">
        <v>188</v>
      </c>
      <c r="C20">
        <v>18</v>
      </c>
      <c r="E20">
        <f>E19</f>
        <v>166.67952788795341</v>
      </c>
      <c r="F20" s="20">
        <f ca="1">F19*$G$46</f>
        <v>14.228144347186465</v>
      </c>
      <c r="G20">
        <v>16</v>
      </c>
      <c r="H20">
        <v>3000</v>
      </c>
      <c r="I20">
        <v>1000</v>
      </c>
      <c r="J20">
        <f>J19</f>
        <v>612.74</v>
      </c>
      <c r="K20">
        <v>1</v>
      </c>
      <c r="L20">
        <v>1</v>
      </c>
      <c r="M20">
        <v>300</v>
      </c>
      <c r="P20" s="129">
        <v>-9.0499999999999997E-2</v>
      </c>
      <c r="Q20" s="129">
        <v>616.36</v>
      </c>
    </row>
    <row r="21" spans="1:17" ht="15" x14ac:dyDescent="0.25">
      <c r="A21">
        <v>18</v>
      </c>
      <c r="B21" s="102" t="s">
        <v>189</v>
      </c>
      <c r="C21">
        <v>19</v>
      </c>
      <c r="E21">
        <f>'COMET2_HP-DH500'!B83</f>
        <v>235.70623249641858</v>
      </c>
      <c r="F21">
        <f ca="1">'COMET2_HP-DH500'!B97</f>
        <v>10.72348160311893</v>
      </c>
      <c r="G21">
        <v>32</v>
      </c>
      <c r="H21">
        <v>5000</v>
      </c>
      <c r="I21">
        <v>1000</v>
      </c>
      <c r="J21">
        <f t="shared" ref="J21:J22" si="2">Pavg*P21+Q21</f>
        <v>443.32800000000003</v>
      </c>
      <c r="K21">
        <v>1</v>
      </c>
      <c r="L21">
        <v>1</v>
      </c>
      <c r="M21">
        <v>300</v>
      </c>
      <c r="P21" s="130">
        <v>-4.9299999999999997E-2</v>
      </c>
      <c r="Q21" s="130">
        <v>445.3</v>
      </c>
    </row>
    <row r="22" spans="1:17" ht="13.5" customHeight="1" x14ac:dyDescent="0.25">
      <c r="A22">
        <v>19</v>
      </c>
      <c r="B22" s="102" t="s">
        <v>190</v>
      </c>
      <c r="C22">
        <v>20</v>
      </c>
      <c r="E22">
        <f>FUSION3_DH100!B83</f>
        <v>173.70259093800632</v>
      </c>
      <c r="F22">
        <f ca="1">FUSION3_DH100!B98</f>
        <v>4.8507923369477286</v>
      </c>
      <c r="G22">
        <v>32</v>
      </c>
      <c r="H22">
        <v>1000</v>
      </c>
      <c r="I22">
        <v>1100</v>
      </c>
      <c r="J22">
        <f t="shared" si="2"/>
        <v>2013.7</v>
      </c>
      <c r="K22">
        <v>1</v>
      </c>
      <c r="L22">
        <v>0</v>
      </c>
      <c r="M22">
        <v>250</v>
      </c>
      <c r="P22" s="327">
        <v>-0.34499999999999997</v>
      </c>
      <c r="Q22">
        <v>2027.5</v>
      </c>
    </row>
    <row r="23" spans="1:17" ht="13.5" customHeight="1" x14ac:dyDescent="0.25">
      <c r="A23">
        <v>20</v>
      </c>
      <c r="B23" s="102" t="s">
        <v>191</v>
      </c>
      <c r="C23">
        <v>21</v>
      </c>
      <c r="E23">
        <f>FUSION3_SH300!B83</f>
        <v>377.79652139273668</v>
      </c>
      <c r="F23">
        <f ca="1">FUSION3_SH300!B98</f>
        <v>7.6589544235389573</v>
      </c>
      <c r="G23">
        <v>32</v>
      </c>
      <c r="H23">
        <v>3000</v>
      </c>
      <c r="I23">
        <v>1100</v>
      </c>
      <c r="J23">
        <f>Pavg*P23+Q23</f>
        <v>360.64400000000001</v>
      </c>
      <c r="K23">
        <v>1</v>
      </c>
      <c r="L23">
        <v>1</v>
      </c>
      <c r="M23">
        <v>250</v>
      </c>
      <c r="P23" s="328">
        <v>-1.89E-2</v>
      </c>
      <c r="Q23">
        <v>361.4</v>
      </c>
    </row>
    <row r="24" spans="1:17" ht="13.5" customHeight="1" x14ac:dyDescent="0.25">
      <c r="A24">
        <v>21</v>
      </c>
      <c r="B24" s="102" t="s">
        <v>192</v>
      </c>
      <c r="C24">
        <v>22</v>
      </c>
      <c r="E24">
        <f>FUSION3_DH300!B83</f>
        <v>251.00976038419404</v>
      </c>
      <c r="F24">
        <f ca="1">FUSION3_DH300!B98</f>
        <v>16.217242865046735</v>
      </c>
      <c r="G24">
        <v>32</v>
      </c>
      <c r="H24">
        <v>3000</v>
      </c>
      <c r="I24">
        <v>1100</v>
      </c>
      <c r="J24">
        <f>Pavg*P24+Q24</f>
        <v>721.86599999999999</v>
      </c>
      <c r="K24">
        <v>1</v>
      </c>
      <c r="L24">
        <v>1</v>
      </c>
      <c r="M24">
        <v>250</v>
      </c>
      <c r="P24" s="327">
        <v>-4.7600000000000003E-2</v>
      </c>
      <c r="Q24">
        <v>723.77</v>
      </c>
    </row>
    <row r="25" spans="1:17" ht="15" x14ac:dyDescent="0.25">
      <c r="A25">
        <v>22</v>
      </c>
      <c r="B25" s="102" t="s">
        <v>193</v>
      </c>
      <c r="C25">
        <v>23</v>
      </c>
      <c r="E25">
        <f>'FUSION3_SH500 '!B83</f>
        <v>486.74663231837553</v>
      </c>
      <c r="F25">
        <f ca="1">'FUSION3_SH500 '!B98</f>
        <v>8.1052014168254605</v>
      </c>
      <c r="G25">
        <v>32</v>
      </c>
      <c r="H25">
        <v>4350</v>
      </c>
      <c r="I25">
        <v>1100</v>
      </c>
      <c r="J25">
        <f>Pavg*P25+Q25</f>
        <v>251.756</v>
      </c>
      <c r="K25">
        <v>1</v>
      </c>
      <c r="L25">
        <v>2</v>
      </c>
      <c r="M25">
        <v>250</v>
      </c>
      <c r="P25" s="328">
        <v>-1.26E-2</v>
      </c>
      <c r="Q25">
        <v>252.26</v>
      </c>
    </row>
    <row r="26" spans="1:17" ht="15" x14ac:dyDescent="0.25">
      <c r="A26">
        <v>23</v>
      </c>
      <c r="B26" s="102" t="s">
        <v>194</v>
      </c>
      <c r="C26">
        <v>24</v>
      </c>
      <c r="E26">
        <f>'FUSION3_DH500 '!B83</f>
        <v>309.73563518649928</v>
      </c>
      <c r="F26">
        <f ca="1">'FUSION3_DH500 '!B98</f>
        <v>6.0268484913573284</v>
      </c>
      <c r="G26">
        <v>32</v>
      </c>
      <c r="H26">
        <v>4350</v>
      </c>
      <c r="I26">
        <v>1100</v>
      </c>
      <c r="J26">
        <f>Pavg*P26+Q26</f>
        <v>516.25200000000007</v>
      </c>
      <c r="K26">
        <v>1</v>
      </c>
      <c r="L26">
        <v>2</v>
      </c>
      <c r="M26">
        <v>250</v>
      </c>
      <c r="P26" s="327">
        <v>-3.0200000000000001E-2</v>
      </c>
      <c r="Q26">
        <v>517.46</v>
      </c>
    </row>
    <row r="27" spans="1:17" ht="15" x14ac:dyDescent="0.25">
      <c r="B27" s="91"/>
      <c r="P27" s="327"/>
    </row>
    <row r="28" spans="1:17" ht="15" x14ac:dyDescent="0.25">
      <c r="B28" s="91"/>
      <c r="P28" s="327"/>
    </row>
    <row r="31" spans="1:17" ht="13.5" thickBot="1" x14ac:dyDescent="0.25">
      <c r="M31" s="24">
        <v>0.94635199999999997</v>
      </c>
    </row>
    <row r="32" spans="1:17" ht="15.75" thickBot="1" x14ac:dyDescent="0.25">
      <c r="E32" s="386" t="s">
        <v>195</v>
      </c>
      <c r="F32" s="387"/>
      <c r="G32" s="127" t="s">
        <v>196</v>
      </c>
      <c r="H32" s="127" t="s">
        <v>197</v>
      </c>
      <c r="I32" s="127" t="s">
        <v>198</v>
      </c>
      <c r="J32" s="127" t="s">
        <v>199</v>
      </c>
      <c r="L32" s="86" t="s">
        <v>200</v>
      </c>
      <c r="M32" s="86" t="s">
        <v>28</v>
      </c>
    </row>
    <row r="33" spans="5:21" ht="15.75" thickBot="1" x14ac:dyDescent="0.25">
      <c r="E33" s="33" t="s">
        <v>201</v>
      </c>
      <c r="F33" s="34" t="s">
        <v>202</v>
      </c>
      <c r="G33" s="34" t="s">
        <v>203</v>
      </c>
      <c r="H33" s="34" t="s">
        <v>204</v>
      </c>
      <c r="I33" s="34" t="s">
        <v>203</v>
      </c>
      <c r="J33" s="34" t="s">
        <v>204</v>
      </c>
      <c r="L33">
        <v>50</v>
      </c>
      <c r="M33">
        <f>L33*$M$31</f>
        <v>47.317599999999999</v>
      </c>
    </row>
    <row r="34" spans="5:21" ht="15.75" thickBot="1" x14ac:dyDescent="0.25">
      <c r="E34" s="33"/>
      <c r="F34" s="34" t="s">
        <v>205</v>
      </c>
      <c r="G34" s="34" t="s">
        <v>206</v>
      </c>
      <c r="H34" s="34" t="s">
        <v>206</v>
      </c>
      <c r="I34" s="34" t="s">
        <v>206</v>
      </c>
      <c r="J34" s="34" t="s">
        <v>206</v>
      </c>
      <c r="L34">
        <v>90</v>
      </c>
      <c r="M34">
        <f>L34*$M$31</f>
        <v>85.171679999999995</v>
      </c>
    </row>
    <row r="35" spans="5:21" ht="15.75" thickBot="1" x14ac:dyDescent="0.25">
      <c r="E35" s="35" t="s">
        <v>207</v>
      </c>
      <c r="F35" s="36" t="s">
        <v>202</v>
      </c>
      <c r="G35" s="36" t="s">
        <v>208</v>
      </c>
      <c r="H35" s="36" t="s">
        <v>209</v>
      </c>
      <c r="I35" s="36" t="s">
        <v>210</v>
      </c>
      <c r="J35" s="36" t="s">
        <v>208</v>
      </c>
      <c r="L35">
        <v>100</v>
      </c>
      <c r="M35">
        <f>L35*$M$31</f>
        <v>94.635199999999998</v>
      </c>
    </row>
    <row r="36" spans="5:21" ht="15.75" thickBot="1" x14ac:dyDescent="0.25">
      <c r="E36" s="35"/>
      <c r="F36" s="36" t="s">
        <v>205</v>
      </c>
      <c r="G36" s="36" t="s">
        <v>211</v>
      </c>
      <c r="H36" s="36" t="s">
        <v>211</v>
      </c>
      <c r="I36" s="36" t="s">
        <v>211</v>
      </c>
      <c r="J36" s="36" t="s">
        <v>211</v>
      </c>
      <c r="L36">
        <v>180</v>
      </c>
      <c r="M36">
        <f>L36*$M$31</f>
        <v>170.34335999999999</v>
      </c>
    </row>
    <row r="37" spans="5:21" ht="15.75" thickBot="1" x14ac:dyDescent="0.25">
      <c r="E37" s="37" t="s">
        <v>212</v>
      </c>
      <c r="F37" s="38" t="s">
        <v>202</v>
      </c>
      <c r="G37" s="38" t="s">
        <v>213</v>
      </c>
      <c r="H37" s="38" t="s">
        <v>214</v>
      </c>
      <c r="I37" s="38" t="s">
        <v>215</v>
      </c>
      <c r="J37" s="38" t="s">
        <v>213</v>
      </c>
      <c r="L37">
        <v>360</v>
      </c>
      <c r="M37">
        <f>L37*$M$31</f>
        <v>340.68671999999998</v>
      </c>
      <c r="T37">
        <v>0</v>
      </c>
      <c r="U37">
        <f>T37*$P$39+$Q$39</f>
        <v>1980</v>
      </c>
    </row>
    <row r="38" spans="5:21" ht="15.75" thickBot="1" x14ac:dyDescent="0.25">
      <c r="E38" s="39"/>
      <c r="F38" s="38" t="s">
        <v>205</v>
      </c>
      <c r="G38" s="38" t="s">
        <v>216</v>
      </c>
      <c r="H38" s="38" t="s">
        <v>216</v>
      </c>
      <c r="I38" s="38" t="s">
        <v>216</v>
      </c>
      <c r="J38" s="38" t="s">
        <v>216</v>
      </c>
      <c r="P38" s="91" t="s">
        <v>169</v>
      </c>
      <c r="Q38" s="91" t="s">
        <v>170</v>
      </c>
      <c r="T38">
        <f>H3</f>
        <v>1000</v>
      </c>
      <c r="U38">
        <f>T38*$P$39+$Q$39</f>
        <v>1304.2</v>
      </c>
    </row>
    <row r="39" spans="5:21" ht="15.75" thickBot="1" x14ac:dyDescent="0.25">
      <c r="E39" s="103" t="s">
        <v>217</v>
      </c>
      <c r="F39" s="104" t="s">
        <v>202</v>
      </c>
      <c r="G39" s="104"/>
      <c r="H39" s="104"/>
      <c r="I39" s="104"/>
      <c r="J39" s="104"/>
      <c r="L39" s="106">
        <f>M39/$M$31</f>
        <v>2063.6803219098178</v>
      </c>
      <c r="M39" s="20">
        <f>Pavg*P39+Q39</f>
        <v>1952.9680000000001</v>
      </c>
      <c r="P39">
        <v>-0.67579999999999996</v>
      </c>
      <c r="Q39">
        <v>1980</v>
      </c>
    </row>
    <row r="40" spans="5:21" ht="15.75" thickBot="1" x14ac:dyDescent="0.25">
      <c r="E40" s="105"/>
      <c r="F40" s="104" t="s">
        <v>205</v>
      </c>
      <c r="G40" s="104"/>
      <c r="H40" s="104" t="s">
        <v>218</v>
      </c>
      <c r="I40" s="104"/>
      <c r="J40" s="104"/>
      <c r="P40" s="91" t="s">
        <v>160</v>
      </c>
    </row>
    <row r="41" spans="5:21" ht="15.75" thickBot="1" x14ac:dyDescent="0.25">
      <c r="E41" s="107" t="s">
        <v>219</v>
      </c>
      <c r="F41" s="108" t="s">
        <v>202</v>
      </c>
      <c r="G41" s="108"/>
      <c r="H41" s="108" t="s">
        <v>220</v>
      </c>
      <c r="I41" s="108"/>
      <c r="J41" s="108"/>
      <c r="L41" s="110">
        <f>M41/$M$31</f>
        <v>1299.7277968451485</v>
      </c>
      <c r="M41" s="111">
        <v>1230</v>
      </c>
    </row>
    <row r="42" spans="5:21" ht="15.75" thickBot="1" x14ac:dyDescent="0.25">
      <c r="E42" s="109"/>
      <c r="F42" s="108" t="s">
        <v>205</v>
      </c>
      <c r="G42" s="108"/>
      <c r="H42" s="108" t="s">
        <v>218</v>
      </c>
      <c r="I42" s="108"/>
      <c r="J42" s="108"/>
    </row>
    <row r="46" spans="5:21" x14ac:dyDescent="0.2">
      <c r="E46" s="388" t="s">
        <v>221</v>
      </c>
      <c r="F46" s="389"/>
      <c r="G46" s="24">
        <v>1.25</v>
      </c>
    </row>
    <row r="47" spans="5:21" x14ac:dyDescent="0.2">
      <c r="E47" t="s">
        <v>222</v>
      </c>
    </row>
    <row r="48" spans="5:21" x14ac:dyDescent="0.2">
      <c r="E48" t="s">
        <v>223</v>
      </c>
    </row>
    <row r="49" spans="5:5" x14ac:dyDescent="0.2">
      <c r="E49" t="s">
        <v>224</v>
      </c>
    </row>
  </sheetData>
  <sheetProtection selectLockedCells="1"/>
  <mergeCells count="2">
    <mergeCell ref="E32:F32"/>
    <mergeCell ref="E46:F46"/>
  </mergeCells>
  <conditionalFormatting sqref="G3">
    <cfRule type="dataBar" priority="23">
      <dataBar>
        <cfvo type="min"/>
        <cfvo type="max"/>
        <color rgb="FFFFB628"/>
      </dataBar>
      <extLst>
        <ext xmlns:x14="http://schemas.microsoft.com/office/spreadsheetml/2009/9/main" uri="{B025F937-C7B1-47D3-B67F-A62EFF666E3E}">
          <x14:id>{C4E810CD-2316-454D-985D-155DC2D4ADF0}</x14:id>
        </ext>
      </extLst>
    </cfRule>
  </conditionalFormatting>
  <conditionalFormatting sqref="G4:G28">
    <cfRule type="dataBar" priority="1">
      <dataBar>
        <cfvo type="min"/>
        <cfvo type="max"/>
        <color rgb="FFFFB628"/>
      </dataBar>
      <extLst>
        <ext xmlns:x14="http://schemas.microsoft.com/office/spreadsheetml/2009/9/main" uri="{B025F937-C7B1-47D3-B67F-A62EFF666E3E}">
          <x14:id>{0FA1B241-3912-4734-A583-B7E8606AB3B0}</x14:id>
        </ext>
      </extLst>
    </cfRule>
  </conditionalFormatting>
  <conditionalFormatting sqref="H3:H28">
    <cfRule type="dataBar" priority="22">
      <dataBar>
        <cfvo type="min"/>
        <cfvo type="max"/>
        <color rgb="FFFF555A"/>
      </dataBar>
      <extLst>
        <ext xmlns:x14="http://schemas.microsoft.com/office/spreadsheetml/2009/9/main" uri="{B025F937-C7B1-47D3-B67F-A62EFF666E3E}">
          <x14:id>{B5C73BBB-FAA4-4142-BAB8-6859DD688848}</x14:id>
        </ext>
      </extLst>
    </cfRule>
  </conditionalFormatting>
  <conditionalFormatting sqref="I3:I28">
    <cfRule type="dataBar" priority="26">
      <dataBar>
        <cfvo type="min"/>
        <cfvo type="max"/>
        <color rgb="FF638EC6"/>
      </dataBar>
      <extLst>
        <ext xmlns:x14="http://schemas.microsoft.com/office/spreadsheetml/2009/9/main" uri="{B025F937-C7B1-47D3-B67F-A62EFF666E3E}">
          <x14:id>{6323B7AE-0BE3-48C8-B45A-32C1434A768D}</x14:id>
        </ext>
      </extLst>
    </cfRule>
  </conditionalFormatting>
  <conditionalFormatting sqref="J3">
    <cfRule type="dataBar" priority="25">
      <dataBar>
        <cfvo type="min"/>
        <cfvo type="max"/>
        <color rgb="FFD6007B"/>
      </dataBar>
      <extLst>
        <ext xmlns:x14="http://schemas.microsoft.com/office/spreadsheetml/2009/9/main" uri="{B025F937-C7B1-47D3-B67F-A62EFF666E3E}">
          <x14:id>{D867B212-5333-4759-A15D-BF7A81A05E3E}</x14:id>
        </ext>
      </extLst>
    </cfRule>
  </conditionalFormatting>
  <conditionalFormatting sqref="J4:J28">
    <cfRule type="dataBar" priority="2">
      <dataBar>
        <cfvo type="min"/>
        <cfvo type="max"/>
        <color rgb="FFD6007B"/>
      </dataBar>
      <extLst>
        <ext xmlns:x14="http://schemas.microsoft.com/office/spreadsheetml/2009/9/main" uri="{B025F937-C7B1-47D3-B67F-A62EFF666E3E}">
          <x14:id>{DF08C55C-7B7E-439D-B78F-B3F3ED9E6BFF}</x14:id>
        </ext>
      </extLst>
    </cfRule>
  </conditionalFormatting>
  <conditionalFormatting sqref="K3">
    <cfRule type="iconSet" priority="6">
      <iconSet iconSet="3Symbols">
        <cfvo type="percent" val="0"/>
        <cfvo type="percent" val="33"/>
        <cfvo type="percent" val="67"/>
      </iconSet>
    </cfRule>
  </conditionalFormatting>
  <conditionalFormatting sqref="K4:K28">
    <cfRule type="iconSet" priority="4">
      <iconSet iconSet="3Symbols">
        <cfvo type="percent" val="0"/>
        <cfvo type="percent" val="33"/>
        <cfvo type="percent" val="67"/>
      </iconSet>
    </cfRule>
  </conditionalFormatting>
  <conditionalFormatting sqref="K3:L28">
    <cfRule type="iconSet" priority="3">
      <iconSet>
        <cfvo type="percent" val="0"/>
        <cfvo type="percent" val="33"/>
        <cfvo type="percent" val="67"/>
      </iconSet>
    </cfRule>
  </conditionalFormatting>
  <conditionalFormatting sqref="L3">
    <cfRule type="iconSet" priority="7">
      <iconSet iconSet="3Symbols">
        <cfvo type="percent" val="0"/>
        <cfvo type="percent" val="33"/>
        <cfvo type="percent" val="67"/>
      </iconSet>
    </cfRule>
  </conditionalFormatting>
  <conditionalFormatting sqref="L4:L28">
    <cfRule type="iconSet" priority="5">
      <iconSet iconSet="3Symbols">
        <cfvo type="percent" val="0"/>
        <cfvo type="percent" val="33"/>
        <cfvo type="percent" val="67"/>
      </iconSet>
    </cfRule>
  </conditionalFormatting>
  <conditionalFormatting sqref="M3:M28">
    <cfRule type="dataBar" priority="21">
      <dataBar>
        <cfvo type="min"/>
        <cfvo type="max"/>
        <color rgb="FFFF555A"/>
      </dataBar>
      <extLst>
        <ext xmlns:x14="http://schemas.microsoft.com/office/spreadsheetml/2009/9/main" uri="{B025F937-C7B1-47D3-B67F-A62EFF666E3E}">
          <x14:id>{5D7DF2E1-EDFB-4AC9-B26A-9A5BD43131BE}</x14:id>
        </ext>
      </extLst>
    </cfRule>
  </conditionalFormatting>
  <pageMargins left="0.7" right="0.7" top="0.75" bottom="0.75" header="0.3" footer="0.3"/>
  <pageSetup scale="26"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dataBar" id="{C4E810CD-2316-454D-985D-155DC2D4ADF0}">
            <x14:dataBar minLength="0" maxLength="100" border="1" negativeBarBorderColorSameAsPositive="0">
              <x14:cfvo type="autoMin"/>
              <x14:cfvo type="autoMax"/>
              <x14:borderColor rgb="FFFFB628"/>
              <x14:negativeFillColor rgb="FFFF0000"/>
              <x14:negativeBorderColor rgb="FFFF0000"/>
              <x14:axisColor rgb="FF000000"/>
            </x14:dataBar>
          </x14:cfRule>
          <xm:sqref>G3</xm:sqref>
        </x14:conditionalFormatting>
        <x14:conditionalFormatting xmlns:xm="http://schemas.microsoft.com/office/excel/2006/main">
          <x14:cfRule type="dataBar" id="{0FA1B241-3912-4734-A583-B7E8606AB3B0}">
            <x14:dataBar minLength="0" maxLength="100" border="1" negativeBarBorderColorSameAsPositive="0">
              <x14:cfvo type="autoMin"/>
              <x14:cfvo type="autoMax"/>
              <x14:borderColor rgb="FFFFB628"/>
              <x14:negativeFillColor rgb="FFFF0000"/>
              <x14:negativeBorderColor rgb="FFFF0000"/>
              <x14:axisColor rgb="FF000000"/>
            </x14:dataBar>
          </x14:cfRule>
          <xm:sqref>G4:G28</xm:sqref>
        </x14:conditionalFormatting>
        <x14:conditionalFormatting xmlns:xm="http://schemas.microsoft.com/office/excel/2006/main">
          <x14:cfRule type="dataBar" id="{B5C73BBB-FAA4-4142-BAB8-6859DD688848}">
            <x14:dataBar minLength="0" maxLength="100" border="1" negativeBarBorderColorSameAsPositive="0">
              <x14:cfvo type="autoMin"/>
              <x14:cfvo type="autoMax"/>
              <x14:borderColor rgb="FFFF555A"/>
              <x14:negativeFillColor rgb="FFFF0000"/>
              <x14:negativeBorderColor rgb="FFFF0000"/>
              <x14:axisColor rgb="FF000000"/>
            </x14:dataBar>
          </x14:cfRule>
          <xm:sqref>H3:H28</xm:sqref>
        </x14:conditionalFormatting>
        <x14:conditionalFormatting xmlns:xm="http://schemas.microsoft.com/office/excel/2006/main">
          <x14:cfRule type="dataBar" id="{6323B7AE-0BE3-48C8-B45A-32C1434A768D}">
            <x14:dataBar minLength="0" maxLength="100" border="1" negativeBarBorderColorSameAsPositive="0">
              <x14:cfvo type="autoMin"/>
              <x14:cfvo type="autoMax"/>
              <x14:borderColor rgb="FF638EC6"/>
              <x14:negativeFillColor rgb="FFFF0000"/>
              <x14:negativeBorderColor rgb="FFFF0000"/>
              <x14:axisColor rgb="FF000000"/>
            </x14:dataBar>
          </x14:cfRule>
          <xm:sqref>I3:I28</xm:sqref>
        </x14:conditionalFormatting>
        <x14:conditionalFormatting xmlns:xm="http://schemas.microsoft.com/office/excel/2006/main">
          <x14:cfRule type="dataBar" id="{D867B212-5333-4759-A15D-BF7A81A05E3E}">
            <x14:dataBar minLength="0" maxLength="100" border="1" negativeBarBorderColorSameAsPositive="0">
              <x14:cfvo type="autoMin"/>
              <x14:cfvo type="autoMax"/>
              <x14:borderColor rgb="FFD6007B"/>
              <x14:negativeFillColor rgb="FFFF0000"/>
              <x14:negativeBorderColor rgb="FFFF0000"/>
              <x14:axisColor rgb="FF000000"/>
            </x14:dataBar>
          </x14:cfRule>
          <xm:sqref>J3</xm:sqref>
        </x14:conditionalFormatting>
        <x14:conditionalFormatting xmlns:xm="http://schemas.microsoft.com/office/excel/2006/main">
          <x14:cfRule type="dataBar" id="{DF08C55C-7B7E-439D-B78F-B3F3ED9E6BFF}">
            <x14:dataBar minLength="0" maxLength="100" border="1" negativeBarBorderColorSameAsPositive="0">
              <x14:cfvo type="autoMin"/>
              <x14:cfvo type="autoMax"/>
              <x14:borderColor rgb="FFD6007B"/>
              <x14:negativeFillColor rgb="FFFF0000"/>
              <x14:negativeBorderColor rgb="FFFF0000"/>
              <x14:axisColor rgb="FF000000"/>
            </x14:dataBar>
          </x14:cfRule>
          <xm:sqref>J4:J28</xm:sqref>
        </x14:conditionalFormatting>
        <x14:conditionalFormatting xmlns:xm="http://schemas.microsoft.com/office/excel/2006/main">
          <x14:cfRule type="dataBar" id="{5D7DF2E1-EDFB-4AC9-B26A-9A5BD43131BE}">
            <x14:dataBar minLength="0" maxLength="100" border="1" negativeBarBorderColorSameAsPositive="0">
              <x14:cfvo type="autoMin"/>
              <x14:cfvo type="autoMax"/>
              <x14:borderColor rgb="FFFF555A"/>
              <x14:negativeFillColor rgb="FFFF0000"/>
              <x14:negativeBorderColor rgb="FFFF0000"/>
              <x14:axisColor rgb="FF000000"/>
            </x14:dataBar>
          </x14:cfRule>
          <xm:sqref>M3:M28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8F9F9-273C-4604-AFB2-05EF94BB869A}">
  <sheetPr codeName="Sheet2"/>
  <dimension ref="C3:R58"/>
  <sheetViews>
    <sheetView topLeftCell="A28" workbookViewId="0">
      <selection activeCell="O21" sqref="O21"/>
    </sheetView>
  </sheetViews>
  <sheetFormatPr defaultRowHeight="12.75" x14ac:dyDescent="0.2"/>
  <cols>
    <col min="3" max="3" width="18.42578125" customWidth="1"/>
    <col min="4" max="4" width="20.85546875" customWidth="1"/>
    <col min="5" max="5" width="17.7109375" customWidth="1"/>
    <col min="6" max="11" width="16.42578125" customWidth="1"/>
    <col min="12" max="12" width="23" customWidth="1"/>
    <col min="15" max="15" width="19.5703125" customWidth="1"/>
  </cols>
  <sheetData>
    <row r="3" spans="3:18" x14ac:dyDescent="0.2">
      <c r="D3" s="91" t="s">
        <v>225</v>
      </c>
    </row>
    <row r="4" spans="3:18" x14ac:dyDescent="0.2">
      <c r="D4" s="91" t="s">
        <v>226</v>
      </c>
    </row>
    <row r="5" spans="3:18" x14ac:dyDescent="0.2">
      <c r="D5" s="91" t="s">
        <v>227</v>
      </c>
      <c r="E5" s="116">
        <v>0.75</v>
      </c>
      <c r="F5" s="26" t="s">
        <v>228</v>
      </c>
    </row>
    <row r="6" spans="3:18" x14ac:dyDescent="0.2">
      <c r="D6" s="26" t="s">
        <v>229</v>
      </c>
    </row>
    <row r="8" spans="3:18" x14ac:dyDescent="0.2">
      <c r="E8" s="390" t="s">
        <v>230</v>
      </c>
      <c r="F8" s="391"/>
      <c r="G8" s="392" t="s">
        <v>231</v>
      </c>
      <c r="H8" s="393"/>
      <c r="I8" s="97" t="s">
        <v>232</v>
      </c>
      <c r="J8" s="24" t="s">
        <v>233</v>
      </c>
      <c r="K8" s="24" t="s">
        <v>233</v>
      </c>
      <c r="L8" s="97" t="s">
        <v>234</v>
      </c>
    </row>
    <row r="9" spans="3:18" x14ac:dyDescent="0.2">
      <c r="C9" s="91" t="s">
        <v>235</v>
      </c>
      <c r="D9" s="24" t="s">
        <v>232</v>
      </c>
      <c r="E9" s="27" t="s">
        <v>236</v>
      </c>
      <c r="F9" s="27" t="s">
        <v>237</v>
      </c>
      <c r="G9" s="25" t="s">
        <v>236</v>
      </c>
      <c r="H9" s="25" t="s">
        <v>238</v>
      </c>
      <c r="I9" s="24" t="s">
        <v>239</v>
      </c>
      <c r="J9" s="24" t="s">
        <v>240</v>
      </c>
      <c r="K9" s="24" t="s">
        <v>240</v>
      </c>
      <c r="L9" s="30" t="s">
        <v>241</v>
      </c>
      <c r="O9" t="s">
        <v>242</v>
      </c>
      <c r="P9" s="32" t="s">
        <v>243</v>
      </c>
    </row>
    <row r="10" spans="3:18" x14ac:dyDescent="0.2">
      <c r="C10" t="str">
        <f t="shared" ref="C10:C52" si="0">RIGHT(D10,LEN(D10)-4)</f>
        <v>Athabasca</v>
      </c>
      <c r="D10" s="97" t="s">
        <v>244</v>
      </c>
      <c r="E10" s="27">
        <v>58</v>
      </c>
      <c r="F10" s="27">
        <v>58</v>
      </c>
      <c r="G10" s="25">
        <v>72</v>
      </c>
      <c r="H10" s="25">
        <v>101</v>
      </c>
      <c r="I10" s="24">
        <v>54.7</v>
      </c>
      <c r="J10" s="24">
        <f t="shared" ref="J10:J57" si="1">I10+15</f>
        <v>69.7</v>
      </c>
      <c r="K10" s="24">
        <f t="shared" ref="K10:K41" si="2">ROUND(2*J10,-1)/2</f>
        <v>70</v>
      </c>
      <c r="L10" s="140">
        <v>-9</v>
      </c>
      <c r="O10" t="s">
        <v>242</v>
      </c>
      <c r="P10" s="32" t="s">
        <v>245</v>
      </c>
    </row>
    <row r="11" spans="3:18" x14ac:dyDescent="0.2">
      <c r="C11" t="str">
        <f t="shared" si="0"/>
        <v>Bonnyville</v>
      </c>
      <c r="D11" s="97" t="s">
        <v>246</v>
      </c>
      <c r="E11" s="27">
        <v>61</v>
      </c>
      <c r="F11" s="27">
        <v>61</v>
      </c>
      <c r="G11" s="25">
        <v>71</v>
      </c>
      <c r="H11" s="25">
        <v>101</v>
      </c>
      <c r="I11" s="24">
        <v>54.3</v>
      </c>
      <c r="J11" s="24">
        <f t="shared" si="1"/>
        <v>69.3</v>
      </c>
      <c r="K11" s="24">
        <f t="shared" si="2"/>
        <v>70</v>
      </c>
      <c r="L11" s="140">
        <v>-10</v>
      </c>
      <c r="O11" s="91" t="s">
        <v>247</v>
      </c>
      <c r="P11" s="91" t="s">
        <v>248</v>
      </c>
    </row>
    <row r="12" spans="3:18" x14ac:dyDescent="0.2">
      <c r="C12" t="str">
        <f t="shared" si="0"/>
        <v>Brooks</v>
      </c>
      <c r="D12" s="97" t="s">
        <v>249</v>
      </c>
      <c r="E12" s="27">
        <v>74</v>
      </c>
      <c r="F12" s="27">
        <v>75</v>
      </c>
      <c r="G12" s="25">
        <v>71</v>
      </c>
      <c r="H12" s="25">
        <v>110</v>
      </c>
      <c r="I12" s="24">
        <v>50.6</v>
      </c>
      <c r="J12" s="24">
        <f t="shared" si="1"/>
        <v>65.599999999999994</v>
      </c>
      <c r="K12" s="24">
        <f t="shared" si="2"/>
        <v>65</v>
      </c>
      <c r="L12" s="140">
        <v>-4</v>
      </c>
      <c r="O12" s="26" t="s">
        <v>250</v>
      </c>
      <c r="R12" t="s">
        <v>251</v>
      </c>
    </row>
    <row r="13" spans="3:18" x14ac:dyDescent="0.2">
      <c r="C13" t="str">
        <f t="shared" si="0"/>
        <v>Calgary</v>
      </c>
      <c r="D13" s="97" t="s">
        <v>252</v>
      </c>
      <c r="E13" s="27">
        <v>71</v>
      </c>
      <c r="F13" s="27">
        <v>71</v>
      </c>
      <c r="G13" s="25">
        <v>69</v>
      </c>
      <c r="H13" s="25">
        <v>105</v>
      </c>
      <c r="I13" s="24">
        <v>51</v>
      </c>
      <c r="J13" s="24">
        <f t="shared" si="1"/>
        <v>66</v>
      </c>
      <c r="K13" s="24">
        <f t="shared" si="2"/>
        <v>65</v>
      </c>
      <c r="L13" s="140">
        <v>-2</v>
      </c>
      <c r="O13" s="91" t="s">
        <v>253</v>
      </c>
      <c r="P13" s="91" t="s">
        <v>254</v>
      </c>
      <c r="R13" s="26" t="s">
        <v>255</v>
      </c>
    </row>
    <row r="14" spans="3:18" x14ac:dyDescent="0.2">
      <c r="C14" t="str">
        <f t="shared" si="0"/>
        <v>Dawson Creek</v>
      </c>
      <c r="D14" s="97" t="s">
        <v>256</v>
      </c>
      <c r="E14" s="27">
        <v>56</v>
      </c>
      <c r="F14" s="27">
        <v>56</v>
      </c>
      <c r="G14" s="25">
        <v>76</v>
      </c>
      <c r="H14" s="25">
        <v>103</v>
      </c>
      <c r="I14" s="24">
        <v>55.7</v>
      </c>
      <c r="J14" s="24">
        <f t="shared" si="1"/>
        <v>70.7</v>
      </c>
      <c r="K14" s="24">
        <f t="shared" si="2"/>
        <v>70</v>
      </c>
      <c r="L14" s="140">
        <v>-7</v>
      </c>
      <c r="O14" s="26" t="s">
        <v>257</v>
      </c>
    </row>
    <row r="15" spans="3:18" x14ac:dyDescent="0.2">
      <c r="C15" t="str">
        <f t="shared" si="0"/>
        <v>Drayton Valley</v>
      </c>
      <c r="D15" s="97" t="s">
        <v>258</v>
      </c>
      <c r="E15" s="27">
        <v>56</v>
      </c>
      <c r="F15" s="27">
        <v>56</v>
      </c>
      <c r="G15" s="25">
        <v>70</v>
      </c>
      <c r="H15" s="25">
        <v>100</v>
      </c>
      <c r="I15" s="24">
        <v>53.2</v>
      </c>
      <c r="J15" s="24">
        <f t="shared" si="1"/>
        <v>68.2</v>
      </c>
      <c r="K15" s="24">
        <f t="shared" si="2"/>
        <v>70</v>
      </c>
      <c r="L15" s="140">
        <v>-5</v>
      </c>
      <c r="O15" s="26" t="s">
        <v>259</v>
      </c>
    </row>
    <row r="16" spans="3:18" x14ac:dyDescent="0.2">
      <c r="C16" t="str">
        <f t="shared" si="0"/>
        <v>Drumheller</v>
      </c>
      <c r="D16" s="97" t="s">
        <v>260</v>
      </c>
      <c r="E16" s="27">
        <v>74</v>
      </c>
      <c r="F16" s="27">
        <v>74</v>
      </c>
      <c r="G16" s="25">
        <v>72</v>
      </c>
      <c r="H16" s="25">
        <v>108</v>
      </c>
      <c r="I16" s="24">
        <v>51.4</v>
      </c>
      <c r="J16" s="24">
        <f t="shared" si="1"/>
        <v>66.400000000000006</v>
      </c>
      <c r="K16" s="24">
        <f t="shared" si="2"/>
        <v>65</v>
      </c>
      <c r="L16" s="140">
        <v>-6</v>
      </c>
    </row>
    <row r="17" spans="3:15" x14ac:dyDescent="0.2">
      <c r="C17" t="str">
        <f t="shared" si="0"/>
        <v>Edmonton</v>
      </c>
      <c r="D17" s="97" t="s">
        <v>261</v>
      </c>
      <c r="E17" s="27">
        <v>63</v>
      </c>
      <c r="F17" s="27">
        <v>63</v>
      </c>
      <c r="G17" s="25">
        <v>72</v>
      </c>
      <c r="H17" s="25">
        <v>103</v>
      </c>
      <c r="I17" s="24">
        <v>53.6</v>
      </c>
      <c r="J17" s="24">
        <f t="shared" si="1"/>
        <v>68.599999999999994</v>
      </c>
      <c r="K17" s="24">
        <f t="shared" si="2"/>
        <v>70</v>
      </c>
      <c r="L17" s="140">
        <v>-7</v>
      </c>
      <c r="O17" s="91" t="s">
        <v>262</v>
      </c>
    </row>
    <row r="18" spans="3:15" x14ac:dyDescent="0.2">
      <c r="C18" t="str">
        <f t="shared" si="0"/>
        <v>Edson</v>
      </c>
      <c r="D18" s="97" t="s">
        <v>263</v>
      </c>
      <c r="E18" s="27">
        <v>53</v>
      </c>
      <c r="F18" s="27">
        <v>53</v>
      </c>
      <c r="G18" s="25">
        <v>70</v>
      </c>
      <c r="H18" s="25">
        <v>100</v>
      </c>
      <c r="I18" s="24">
        <v>53.6</v>
      </c>
      <c r="J18" s="24">
        <f t="shared" si="1"/>
        <v>68.599999999999994</v>
      </c>
      <c r="K18" s="24">
        <f t="shared" si="2"/>
        <v>70</v>
      </c>
      <c r="L18" s="140">
        <v>-6</v>
      </c>
      <c r="O18" s="26" t="s">
        <v>264</v>
      </c>
    </row>
    <row r="19" spans="3:15" x14ac:dyDescent="0.2">
      <c r="C19" t="str">
        <f t="shared" si="0"/>
        <v>Estevan</v>
      </c>
      <c r="D19" s="97" t="s">
        <v>265</v>
      </c>
      <c r="E19" s="119">
        <f>82</f>
        <v>82</v>
      </c>
      <c r="F19" s="27">
        <v>83</v>
      </c>
      <c r="G19" s="25">
        <v>68</v>
      </c>
      <c r="H19" s="25">
        <v>108</v>
      </c>
      <c r="I19" s="24">
        <v>49.1</v>
      </c>
      <c r="J19" s="24">
        <f t="shared" si="1"/>
        <v>64.099999999999994</v>
      </c>
      <c r="K19" s="24">
        <f t="shared" si="2"/>
        <v>65</v>
      </c>
      <c r="L19" s="140">
        <v>-8</v>
      </c>
    </row>
    <row r="20" spans="3:15" x14ac:dyDescent="0.2">
      <c r="C20" t="str">
        <f t="shared" si="0"/>
        <v>Fort McMurray</v>
      </c>
      <c r="D20" s="97" t="s">
        <v>266</v>
      </c>
      <c r="E20" s="27">
        <v>54</v>
      </c>
      <c r="F20" s="27">
        <v>53</v>
      </c>
      <c r="G20" s="25">
        <v>73</v>
      </c>
      <c r="H20" s="25">
        <v>99</v>
      </c>
      <c r="I20" s="24">
        <v>56.7</v>
      </c>
      <c r="J20" s="24">
        <f t="shared" si="1"/>
        <v>71.7</v>
      </c>
      <c r="K20" s="24">
        <f t="shared" si="2"/>
        <v>70</v>
      </c>
      <c r="L20" s="140">
        <v>-12</v>
      </c>
    </row>
    <row r="21" spans="3:15" x14ac:dyDescent="0.2">
      <c r="C21" t="str">
        <f t="shared" si="0"/>
        <v>Ft. Nelson</v>
      </c>
      <c r="D21" s="97" t="s">
        <v>267</v>
      </c>
      <c r="E21" s="27">
        <v>40</v>
      </c>
      <c r="F21" s="27">
        <v>39</v>
      </c>
      <c r="G21" s="25">
        <v>77</v>
      </c>
      <c r="H21" s="25">
        <v>100</v>
      </c>
      <c r="I21" s="24">
        <v>58.8</v>
      </c>
      <c r="J21" s="24">
        <f t="shared" si="1"/>
        <v>73.8</v>
      </c>
      <c r="K21" s="24">
        <f t="shared" si="2"/>
        <v>75</v>
      </c>
      <c r="L21" s="140">
        <v>-15</v>
      </c>
    </row>
    <row r="22" spans="3:15" x14ac:dyDescent="0.2">
      <c r="C22" t="str">
        <f t="shared" si="0"/>
        <v>Grande Praire</v>
      </c>
      <c r="D22" s="97" t="s">
        <v>268</v>
      </c>
      <c r="E22" s="27">
        <v>56</v>
      </c>
      <c r="F22" s="27">
        <v>56</v>
      </c>
      <c r="G22" s="25">
        <v>74</v>
      </c>
      <c r="H22" s="25">
        <v>102</v>
      </c>
      <c r="I22" s="24">
        <v>55.1</v>
      </c>
      <c r="J22" s="24">
        <f t="shared" si="1"/>
        <v>70.099999999999994</v>
      </c>
      <c r="K22" s="24">
        <f t="shared" si="2"/>
        <v>70</v>
      </c>
      <c r="L22" s="140">
        <v>-8</v>
      </c>
    </row>
    <row r="23" spans="3:15" x14ac:dyDescent="0.2">
      <c r="C23" t="str">
        <f t="shared" si="0"/>
        <v>High Level</v>
      </c>
      <c r="D23" s="97" t="s">
        <v>269</v>
      </c>
      <c r="E23" s="27">
        <v>47</v>
      </c>
      <c r="F23" s="27">
        <v>47</v>
      </c>
      <c r="G23" s="25">
        <v>79</v>
      </c>
      <c r="H23" s="25">
        <v>103</v>
      </c>
      <c r="I23" s="24">
        <v>58.5</v>
      </c>
      <c r="J23" s="24">
        <f t="shared" si="1"/>
        <v>73.5</v>
      </c>
      <c r="K23" s="24">
        <f t="shared" si="2"/>
        <v>75</v>
      </c>
      <c r="L23" s="140">
        <v>-15</v>
      </c>
    </row>
    <row r="24" spans="3:15" x14ac:dyDescent="0.2">
      <c r="C24" t="str">
        <f t="shared" si="0"/>
        <v>Lloydminster</v>
      </c>
      <c r="D24" s="97" t="s">
        <v>270</v>
      </c>
      <c r="E24" s="27">
        <v>65</v>
      </c>
      <c r="F24" s="27">
        <v>65</v>
      </c>
      <c r="G24" s="25">
        <v>70</v>
      </c>
      <c r="H24" s="25">
        <v>103</v>
      </c>
      <c r="I24" s="24">
        <v>53.3</v>
      </c>
      <c r="J24" s="24">
        <f t="shared" si="1"/>
        <v>68.3</v>
      </c>
      <c r="K24" s="24">
        <f t="shared" si="2"/>
        <v>70</v>
      </c>
      <c r="L24" s="140">
        <v>-10</v>
      </c>
    </row>
    <row r="25" spans="3:15" x14ac:dyDescent="0.2">
      <c r="C25" t="str">
        <f t="shared" si="0"/>
        <v>Medicine Hat</v>
      </c>
      <c r="D25" s="97" t="s">
        <v>271</v>
      </c>
      <c r="E25" s="27">
        <v>74</v>
      </c>
      <c r="F25" s="27">
        <v>75</v>
      </c>
      <c r="G25" s="25">
        <v>72</v>
      </c>
      <c r="H25" s="25">
        <v>111</v>
      </c>
      <c r="I25" s="24">
        <v>50</v>
      </c>
      <c r="J25" s="24">
        <f t="shared" si="1"/>
        <v>65</v>
      </c>
      <c r="K25" s="24">
        <f t="shared" si="2"/>
        <v>65</v>
      </c>
      <c r="L25" s="140">
        <v>-3</v>
      </c>
    </row>
    <row r="26" spans="3:15" x14ac:dyDescent="0.2">
      <c r="C26" t="str">
        <f t="shared" si="0"/>
        <v>Pink Mountain</v>
      </c>
      <c r="D26" s="97" t="s">
        <v>272</v>
      </c>
      <c r="E26" s="27">
        <v>45</v>
      </c>
      <c r="F26" s="27">
        <v>45</v>
      </c>
      <c r="G26" s="25">
        <v>74</v>
      </c>
      <c r="H26" s="25">
        <v>98</v>
      </c>
      <c r="I26" s="24">
        <v>57</v>
      </c>
      <c r="J26" s="24">
        <f t="shared" si="1"/>
        <v>72</v>
      </c>
      <c r="K26" s="24">
        <f t="shared" si="2"/>
        <v>70</v>
      </c>
      <c r="L26" s="140">
        <v>-15</v>
      </c>
    </row>
    <row r="27" spans="3:15" x14ac:dyDescent="0.2">
      <c r="C27" t="str">
        <f t="shared" si="0"/>
        <v>Ponoka</v>
      </c>
      <c r="D27" s="97" t="s">
        <v>273</v>
      </c>
      <c r="E27" s="27">
        <v>67</v>
      </c>
      <c r="F27" s="27">
        <v>67</v>
      </c>
      <c r="G27" s="25">
        <v>71</v>
      </c>
      <c r="H27" s="25">
        <v>104</v>
      </c>
      <c r="I27" s="24">
        <v>52.7</v>
      </c>
      <c r="J27" s="24">
        <f t="shared" si="1"/>
        <v>67.7</v>
      </c>
      <c r="K27" s="24">
        <f t="shared" si="2"/>
        <v>70</v>
      </c>
      <c r="L27" s="140">
        <v>-6</v>
      </c>
    </row>
    <row r="28" spans="3:15" x14ac:dyDescent="0.2">
      <c r="C28" t="str">
        <f t="shared" si="0"/>
        <v>Prince George</v>
      </c>
      <c r="D28" s="97" t="s">
        <v>274</v>
      </c>
      <c r="E28" s="27">
        <v>38</v>
      </c>
      <c r="F28" s="27">
        <v>38</v>
      </c>
      <c r="G28" s="25">
        <v>71</v>
      </c>
      <c r="H28" s="25">
        <v>99</v>
      </c>
      <c r="I28" s="24">
        <v>53.9</v>
      </c>
      <c r="J28" s="24">
        <f t="shared" si="1"/>
        <v>68.900000000000006</v>
      </c>
      <c r="K28" s="24">
        <f t="shared" si="2"/>
        <v>70</v>
      </c>
      <c r="L28" s="140">
        <v>-5</v>
      </c>
    </row>
    <row r="29" spans="3:15" x14ac:dyDescent="0.2">
      <c r="C29" t="str">
        <f t="shared" si="0"/>
        <v>Red Deer</v>
      </c>
      <c r="D29" s="97" t="s">
        <v>275</v>
      </c>
      <c r="E29" s="27">
        <v>68</v>
      </c>
      <c r="F29" s="27">
        <v>68</v>
      </c>
      <c r="G29" s="25">
        <v>70</v>
      </c>
      <c r="H29" s="25">
        <v>104</v>
      </c>
      <c r="I29" s="24">
        <v>52.3</v>
      </c>
      <c r="J29" s="24">
        <f t="shared" si="1"/>
        <v>67.3</v>
      </c>
      <c r="K29" s="24">
        <f t="shared" si="2"/>
        <v>65</v>
      </c>
      <c r="L29" s="140">
        <v>-6</v>
      </c>
    </row>
    <row r="30" spans="3:15" x14ac:dyDescent="0.2">
      <c r="C30" t="str">
        <f t="shared" si="0"/>
        <v>Rimbey</v>
      </c>
      <c r="D30" s="97" t="s">
        <v>276</v>
      </c>
      <c r="E30" s="27">
        <v>63</v>
      </c>
      <c r="F30" s="27">
        <v>63</v>
      </c>
      <c r="G30" s="25">
        <v>70</v>
      </c>
      <c r="H30" s="25">
        <v>103</v>
      </c>
      <c r="I30" s="24">
        <v>52.6</v>
      </c>
      <c r="J30" s="24">
        <f t="shared" si="1"/>
        <v>67.599999999999994</v>
      </c>
      <c r="K30" s="24">
        <f t="shared" si="2"/>
        <v>70</v>
      </c>
      <c r="L30" s="140">
        <v>-6</v>
      </c>
    </row>
    <row r="31" spans="3:15" x14ac:dyDescent="0.2">
      <c r="C31" t="str">
        <f t="shared" si="0"/>
        <v>Slave Lake</v>
      </c>
      <c r="D31" s="97" t="s">
        <v>277</v>
      </c>
      <c r="E31" s="27">
        <v>53</v>
      </c>
      <c r="F31" s="27">
        <v>53</v>
      </c>
      <c r="G31" s="25">
        <v>73</v>
      </c>
      <c r="H31" s="25">
        <v>101</v>
      </c>
      <c r="I31" s="24">
        <v>55.3</v>
      </c>
      <c r="J31" s="24">
        <f t="shared" si="1"/>
        <v>70.3</v>
      </c>
      <c r="K31" s="24">
        <f t="shared" si="2"/>
        <v>70</v>
      </c>
      <c r="L31" s="140">
        <v>-9</v>
      </c>
    </row>
    <row r="32" spans="3:15" x14ac:dyDescent="0.2">
      <c r="C32" t="str">
        <f t="shared" si="0"/>
        <v>Swift Current</v>
      </c>
      <c r="D32" s="97" t="s">
        <v>278</v>
      </c>
      <c r="E32" s="27">
        <v>73</v>
      </c>
      <c r="F32" s="27">
        <v>73</v>
      </c>
      <c r="G32" s="25">
        <v>71</v>
      </c>
      <c r="H32" s="25">
        <v>110</v>
      </c>
      <c r="I32" s="24">
        <v>50.3</v>
      </c>
      <c r="J32" s="24">
        <f t="shared" si="1"/>
        <v>65.3</v>
      </c>
      <c r="K32" s="24">
        <f t="shared" si="2"/>
        <v>65</v>
      </c>
      <c r="L32" s="140">
        <v>-6</v>
      </c>
    </row>
    <row r="33" spans="3:12" x14ac:dyDescent="0.2">
      <c r="C33" t="str">
        <f t="shared" si="0"/>
        <v>Valleyview</v>
      </c>
      <c r="D33" s="97" t="s">
        <v>279</v>
      </c>
      <c r="E33" s="27">
        <v>54</v>
      </c>
      <c r="F33" s="27">
        <v>54</v>
      </c>
      <c r="G33" s="25">
        <v>72</v>
      </c>
      <c r="H33" s="25">
        <v>101</v>
      </c>
      <c r="I33" s="24">
        <v>55</v>
      </c>
      <c r="J33" s="24">
        <f t="shared" si="1"/>
        <v>70</v>
      </c>
      <c r="K33" s="24">
        <f t="shared" si="2"/>
        <v>70</v>
      </c>
      <c r="L33" s="140">
        <v>-7</v>
      </c>
    </row>
    <row r="34" spans="3:12" x14ac:dyDescent="0.2">
      <c r="C34" t="str">
        <f t="shared" si="0"/>
        <v>Weyburn</v>
      </c>
      <c r="D34" s="97" t="s">
        <v>280</v>
      </c>
      <c r="E34" s="27">
        <v>81</v>
      </c>
      <c r="F34" s="27">
        <v>81</v>
      </c>
      <c r="G34" s="25">
        <v>69</v>
      </c>
      <c r="H34" s="25">
        <v>109</v>
      </c>
      <c r="I34" s="24">
        <v>49.6</v>
      </c>
      <c r="J34" s="24">
        <f t="shared" si="1"/>
        <v>64.599999999999994</v>
      </c>
      <c r="K34" s="24">
        <f t="shared" si="2"/>
        <v>65</v>
      </c>
      <c r="L34" s="140">
        <v>-8</v>
      </c>
    </row>
    <row r="35" spans="3:12" x14ac:dyDescent="0.2">
      <c r="C35" t="str">
        <f t="shared" si="0"/>
        <v>Whitecourt</v>
      </c>
      <c r="D35" s="97" t="s">
        <v>281</v>
      </c>
      <c r="E35" s="27">
        <v>53</v>
      </c>
      <c r="F35" s="27">
        <v>53</v>
      </c>
      <c r="G35" s="25">
        <v>70</v>
      </c>
      <c r="H35" s="25">
        <v>100</v>
      </c>
      <c r="I35" s="24">
        <v>54.1</v>
      </c>
      <c r="J35" s="24">
        <f t="shared" si="1"/>
        <v>69.099999999999994</v>
      </c>
      <c r="K35" s="24">
        <f t="shared" si="2"/>
        <v>70</v>
      </c>
      <c r="L35" s="140">
        <v>-7</v>
      </c>
    </row>
    <row r="36" spans="3:12" x14ac:dyDescent="0.2">
      <c r="C36" t="str">
        <f t="shared" si="0"/>
        <v>Arkansas - Ft Smith</v>
      </c>
      <c r="D36" s="97" t="s">
        <v>282</v>
      </c>
      <c r="E36" s="119">
        <f>2.3*30</f>
        <v>69</v>
      </c>
      <c r="F36" s="119">
        <f>4.4*30</f>
        <v>132</v>
      </c>
      <c r="G36" s="25">
        <f>2.3*30</f>
        <v>69</v>
      </c>
      <c r="H36" s="25">
        <f>5.2*30</f>
        <v>156</v>
      </c>
      <c r="I36" s="24">
        <v>34.700000000000003</v>
      </c>
      <c r="J36" s="24">
        <f t="shared" si="1"/>
        <v>49.7</v>
      </c>
      <c r="K36" s="24">
        <f t="shared" si="2"/>
        <v>50</v>
      </c>
      <c r="L36" s="140">
        <v>10</v>
      </c>
    </row>
    <row r="37" spans="3:12" x14ac:dyDescent="0.2">
      <c r="C37" t="str">
        <f t="shared" si="0"/>
        <v>California-Bakersfield</v>
      </c>
      <c r="D37" s="97" t="s">
        <v>283</v>
      </c>
      <c r="E37" s="27">
        <f>3*30</f>
        <v>90</v>
      </c>
      <c r="F37" s="27">
        <f>3.4*30</f>
        <v>102</v>
      </c>
      <c r="G37" s="25">
        <f>2.4*30</f>
        <v>72</v>
      </c>
      <c r="H37" s="25">
        <f>6.1*30</f>
        <v>183</v>
      </c>
      <c r="I37" s="24">
        <v>35.4</v>
      </c>
      <c r="J37" s="24">
        <f t="shared" si="1"/>
        <v>50.4</v>
      </c>
      <c r="K37" s="24">
        <f t="shared" si="2"/>
        <v>50</v>
      </c>
      <c r="L37" s="140">
        <v>15</v>
      </c>
    </row>
    <row r="38" spans="3:12" x14ac:dyDescent="0.2">
      <c r="C38" t="str">
        <f t="shared" si="0"/>
        <v>Colorado-Boulder</v>
      </c>
      <c r="D38" s="97" t="s">
        <v>284</v>
      </c>
      <c r="E38" s="27">
        <f>4.3*30</f>
        <v>129</v>
      </c>
      <c r="F38" s="27">
        <f>4.5*30</f>
        <v>135</v>
      </c>
      <c r="G38" s="25">
        <f>2.6*30</f>
        <v>78</v>
      </c>
      <c r="H38" s="25">
        <f>5.2*30</f>
        <v>156</v>
      </c>
      <c r="I38" s="24">
        <v>40</v>
      </c>
      <c r="J38" s="24">
        <f t="shared" si="1"/>
        <v>55</v>
      </c>
      <c r="K38" s="24">
        <f t="shared" si="2"/>
        <v>55</v>
      </c>
      <c r="L38" s="140">
        <v>6</v>
      </c>
    </row>
    <row r="39" spans="3:12" x14ac:dyDescent="0.2">
      <c r="C39" t="str">
        <f t="shared" si="0"/>
        <v>Louisiana-Shreveport</v>
      </c>
      <c r="D39" s="97" t="s">
        <v>285</v>
      </c>
      <c r="E39" s="27">
        <f>2*30</f>
        <v>60</v>
      </c>
      <c r="F39" s="27">
        <f>3.9*30</f>
        <v>117</v>
      </c>
      <c r="G39" s="25">
        <f>2.6*30</f>
        <v>78</v>
      </c>
      <c r="H39" s="25">
        <f>5.2*30</f>
        <v>156</v>
      </c>
      <c r="I39" s="24">
        <v>32.47</v>
      </c>
      <c r="J39" s="24">
        <f t="shared" si="1"/>
        <v>47.47</v>
      </c>
      <c r="K39" s="24">
        <f t="shared" si="2"/>
        <v>45</v>
      </c>
      <c r="L39" s="140">
        <v>13</v>
      </c>
    </row>
    <row r="40" spans="3:12" x14ac:dyDescent="0.2">
      <c r="C40" t="str">
        <f t="shared" si="0"/>
        <v>New Mexico-Albuquerque</v>
      </c>
      <c r="D40" s="97" t="s">
        <v>286</v>
      </c>
      <c r="E40" s="27">
        <v>70</v>
      </c>
      <c r="F40" s="27">
        <f>5.5*30</f>
        <v>165</v>
      </c>
      <c r="G40" s="25">
        <f>2.4*30</f>
        <v>72</v>
      </c>
      <c r="H40" s="25">
        <f>6.1*30</f>
        <v>183</v>
      </c>
      <c r="I40" s="24">
        <v>35</v>
      </c>
      <c r="J40" s="24">
        <f t="shared" si="1"/>
        <v>50</v>
      </c>
      <c r="K40" s="24">
        <f t="shared" si="2"/>
        <v>50</v>
      </c>
      <c r="L40" s="140">
        <v>9</v>
      </c>
    </row>
    <row r="41" spans="3:12" x14ac:dyDescent="0.2">
      <c r="C41" t="str">
        <f t="shared" si="0"/>
        <v>New Mexico-Artesia</v>
      </c>
      <c r="D41" s="97" t="s">
        <v>287</v>
      </c>
      <c r="E41" s="27">
        <v>70</v>
      </c>
      <c r="F41" s="27">
        <f>4*30</f>
        <v>120</v>
      </c>
      <c r="G41" s="25">
        <v>68</v>
      </c>
      <c r="H41" s="25">
        <v>182</v>
      </c>
      <c r="I41" s="24">
        <v>32.799999999999997</v>
      </c>
      <c r="J41" s="24">
        <f t="shared" si="1"/>
        <v>47.8</v>
      </c>
      <c r="K41" s="24">
        <f t="shared" si="2"/>
        <v>50</v>
      </c>
      <c r="L41" s="140">
        <v>14</v>
      </c>
    </row>
    <row r="42" spans="3:12" x14ac:dyDescent="0.2">
      <c r="C42" t="str">
        <f t="shared" si="0"/>
        <v>North Dakota-Minot</v>
      </c>
      <c r="D42" s="97" t="s">
        <v>6</v>
      </c>
      <c r="E42" s="119">
        <f>3*30</f>
        <v>90</v>
      </c>
      <c r="F42" s="27">
        <f>3*30</f>
        <v>90</v>
      </c>
      <c r="G42" s="25">
        <f>3*30</f>
        <v>90</v>
      </c>
      <c r="H42" s="25">
        <f>5*30</f>
        <v>150</v>
      </c>
      <c r="I42" s="24">
        <v>48.3</v>
      </c>
      <c r="J42" s="24">
        <f t="shared" si="1"/>
        <v>63.3</v>
      </c>
      <c r="K42" s="24">
        <f t="shared" ref="K42:K58" si="3">ROUND(2*J42,-1)/2</f>
        <v>65</v>
      </c>
      <c r="L42" s="140">
        <v>-6</v>
      </c>
    </row>
    <row r="43" spans="3:12" x14ac:dyDescent="0.2">
      <c r="C43" t="str">
        <f t="shared" si="0"/>
        <v>Oklahoma-OK city</v>
      </c>
      <c r="D43" s="97" t="s">
        <v>288</v>
      </c>
      <c r="E43" s="119">
        <f>4*30</f>
        <v>120</v>
      </c>
      <c r="F43" s="119">
        <f>4.4*30</f>
        <v>132</v>
      </c>
      <c r="G43" s="25">
        <f>2.3*30</f>
        <v>69</v>
      </c>
      <c r="H43" s="25">
        <f>5.2*30</f>
        <v>156</v>
      </c>
      <c r="I43" s="24">
        <v>35.4</v>
      </c>
      <c r="J43" s="24">
        <f t="shared" si="1"/>
        <v>50.4</v>
      </c>
      <c r="K43" s="24">
        <f t="shared" si="3"/>
        <v>50</v>
      </c>
      <c r="L43" s="140">
        <v>9</v>
      </c>
    </row>
    <row r="44" spans="3:12" x14ac:dyDescent="0.2">
      <c r="C44" t="str">
        <f t="shared" si="0"/>
        <v>Pennsylvania-Williamsport</v>
      </c>
      <c r="D44" s="97" t="s">
        <v>289</v>
      </c>
      <c r="E44" s="27">
        <f>2.2*30</f>
        <v>66</v>
      </c>
      <c r="F44" s="27">
        <f>2.4*30</f>
        <v>72</v>
      </c>
      <c r="G44" s="25">
        <f>2.5*30</f>
        <v>75</v>
      </c>
      <c r="H44" s="25">
        <f>4.7*30</f>
        <v>141</v>
      </c>
      <c r="I44" s="24">
        <v>41.3</v>
      </c>
      <c r="J44" s="24">
        <f t="shared" si="1"/>
        <v>56.3</v>
      </c>
      <c r="K44" s="24">
        <f t="shared" si="3"/>
        <v>55</v>
      </c>
      <c r="L44" s="140">
        <v>1</v>
      </c>
    </row>
    <row r="45" spans="3:12" x14ac:dyDescent="0.2">
      <c r="C45" t="str">
        <f t="shared" si="0"/>
        <v>Texas-Amarillo</v>
      </c>
      <c r="D45" s="97" t="s">
        <v>290</v>
      </c>
      <c r="E45" s="27">
        <v>120</v>
      </c>
      <c r="F45" s="27">
        <f>5*30</f>
        <v>150</v>
      </c>
      <c r="G45" s="25">
        <f>2.2*30</f>
        <v>66</v>
      </c>
      <c r="H45" s="25">
        <f>5.5*30</f>
        <v>165</v>
      </c>
      <c r="I45" s="24">
        <v>35.200000000000003</v>
      </c>
      <c r="J45" s="24">
        <f t="shared" si="1"/>
        <v>50.2</v>
      </c>
      <c r="K45" s="24">
        <f t="shared" si="3"/>
        <v>50</v>
      </c>
      <c r="L45" s="140">
        <v>10</v>
      </c>
    </row>
    <row r="46" spans="3:12" x14ac:dyDescent="0.2">
      <c r="C46" t="str">
        <f t="shared" si="0"/>
        <v>Texas-Corpus Christi</v>
      </c>
      <c r="D46" s="97" t="s">
        <v>291</v>
      </c>
      <c r="E46" s="27">
        <f>3.2*30</f>
        <v>96</v>
      </c>
      <c r="F46" s="27">
        <f>3.8*30</f>
        <v>114</v>
      </c>
      <c r="G46" s="25">
        <f>1.7*30</f>
        <v>51</v>
      </c>
      <c r="H46" s="25">
        <f>4.8*30</f>
        <v>144</v>
      </c>
      <c r="I46" s="24">
        <v>27</v>
      </c>
      <c r="J46" s="24">
        <f t="shared" si="1"/>
        <v>42</v>
      </c>
      <c r="K46" s="24">
        <f t="shared" si="3"/>
        <v>40</v>
      </c>
      <c r="L46" s="140">
        <v>19</v>
      </c>
    </row>
    <row r="47" spans="3:12" x14ac:dyDescent="0.2">
      <c r="C47" t="str">
        <f t="shared" si="0"/>
        <v>Texas--ElPaso</v>
      </c>
      <c r="D47" s="97" t="s">
        <v>292</v>
      </c>
      <c r="E47" s="27">
        <v>110</v>
      </c>
      <c r="F47" s="27">
        <f>5.6*30</f>
        <v>168</v>
      </c>
      <c r="G47" s="25">
        <f>2.1*30</f>
        <v>63</v>
      </c>
      <c r="H47" s="25">
        <f>6*30</f>
        <v>180</v>
      </c>
      <c r="I47" s="24">
        <v>31.8</v>
      </c>
      <c r="J47" s="24">
        <f t="shared" si="1"/>
        <v>46.8</v>
      </c>
      <c r="K47" s="24">
        <f t="shared" si="3"/>
        <v>45</v>
      </c>
      <c r="L47" s="140">
        <v>14</v>
      </c>
    </row>
    <row r="48" spans="3:12" x14ac:dyDescent="0.2">
      <c r="C48" t="str">
        <f t="shared" si="0"/>
        <v>Texas--Ft.Worth</v>
      </c>
      <c r="D48" s="97" t="s">
        <v>293</v>
      </c>
      <c r="E48" s="27">
        <f>2.7*30</f>
        <v>81</v>
      </c>
      <c r="F48" s="27">
        <f>4.4*30</f>
        <v>132</v>
      </c>
      <c r="G48" s="25">
        <f>2.1*30</f>
        <v>63</v>
      </c>
      <c r="H48" s="25">
        <f>5.3*30</f>
        <v>159</v>
      </c>
      <c r="I48" s="24">
        <v>32.799999999999997</v>
      </c>
      <c r="J48" s="24">
        <f t="shared" si="1"/>
        <v>47.8</v>
      </c>
      <c r="K48" s="24">
        <f t="shared" si="3"/>
        <v>50</v>
      </c>
      <c r="L48" s="140">
        <v>14</v>
      </c>
    </row>
    <row r="49" spans="3:12" x14ac:dyDescent="0.2">
      <c r="C49" t="str">
        <f t="shared" si="0"/>
        <v>Texas-Midland</v>
      </c>
      <c r="D49" s="97" t="s">
        <v>294</v>
      </c>
      <c r="E49" s="27">
        <f>3*30</f>
        <v>90</v>
      </c>
      <c r="F49" s="27">
        <f>5.2*30</f>
        <v>156</v>
      </c>
      <c r="G49" s="25">
        <f>2.1*30</f>
        <v>63</v>
      </c>
      <c r="H49" s="25">
        <f>5.3*30</f>
        <v>159</v>
      </c>
      <c r="I49" s="24">
        <v>31.9</v>
      </c>
      <c r="J49" s="24">
        <f t="shared" si="1"/>
        <v>46.9</v>
      </c>
      <c r="K49" s="24">
        <f t="shared" si="3"/>
        <v>45</v>
      </c>
      <c r="L49" s="140">
        <v>14</v>
      </c>
    </row>
    <row r="50" spans="3:12" x14ac:dyDescent="0.2">
      <c r="C50" t="str">
        <f t="shared" si="0"/>
        <v>Texas-San Antonio</v>
      </c>
      <c r="D50" s="97" t="s">
        <v>295</v>
      </c>
      <c r="E50" s="27">
        <f>30*3.8</f>
        <v>114</v>
      </c>
      <c r="F50" s="27">
        <f>4.4*30</f>
        <v>132</v>
      </c>
      <c r="G50" s="25">
        <f>1.9*30</f>
        <v>57</v>
      </c>
      <c r="H50" s="25">
        <f>5.2*30</f>
        <v>156</v>
      </c>
      <c r="I50" s="24">
        <v>29.5</v>
      </c>
      <c r="J50" s="24">
        <f t="shared" si="1"/>
        <v>44.5</v>
      </c>
      <c r="K50" s="24">
        <f t="shared" si="3"/>
        <v>45</v>
      </c>
      <c r="L50" s="140">
        <v>17</v>
      </c>
    </row>
    <row r="51" spans="3:12" x14ac:dyDescent="0.2">
      <c r="C51" t="str">
        <f t="shared" si="0"/>
        <v>Texas--Tyler</v>
      </c>
      <c r="D51" s="97" t="s">
        <v>296</v>
      </c>
      <c r="E51" s="27">
        <v>100</v>
      </c>
      <c r="F51" s="27">
        <f>4.4*30</f>
        <v>132</v>
      </c>
      <c r="G51" s="25">
        <f>2.1*30</f>
        <v>63</v>
      </c>
      <c r="H51" s="25">
        <f>5.3*30</f>
        <v>159</v>
      </c>
      <c r="I51" s="24">
        <v>32.35</v>
      </c>
      <c r="J51" s="24">
        <f t="shared" si="1"/>
        <v>47.35</v>
      </c>
      <c r="K51" s="24">
        <f t="shared" si="3"/>
        <v>45</v>
      </c>
      <c r="L51" s="140">
        <v>14</v>
      </c>
    </row>
    <row r="52" spans="3:12" x14ac:dyDescent="0.2">
      <c r="C52" t="str">
        <f t="shared" si="0"/>
        <v>Wyoming-Rock Springs</v>
      </c>
      <c r="D52" s="97" t="s">
        <v>297</v>
      </c>
      <c r="E52" s="27">
        <f>3.9*30</f>
        <v>117</v>
      </c>
      <c r="F52" s="27">
        <f>4.1*30</f>
        <v>122.99999999999999</v>
      </c>
      <c r="G52" s="25">
        <f>2.8*30</f>
        <v>84</v>
      </c>
      <c r="H52" s="25">
        <f>5.5*30</f>
        <v>165</v>
      </c>
      <c r="I52" s="24">
        <v>41.6</v>
      </c>
      <c r="J52" s="24">
        <f t="shared" si="1"/>
        <v>56.6</v>
      </c>
      <c r="K52" s="24">
        <f t="shared" si="3"/>
        <v>55</v>
      </c>
      <c r="L52" s="140">
        <v>-1</v>
      </c>
    </row>
    <row r="53" spans="3:12" x14ac:dyDescent="0.2">
      <c r="C53" t="s">
        <v>298</v>
      </c>
      <c r="D53" s="24" t="s">
        <v>298</v>
      </c>
      <c r="E53" s="27">
        <f>2.83*30</f>
        <v>84.9</v>
      </c>
      <c r="F53" s="27">
        <f>3.45*30</f>
        <v>103.5</v>
      </c>
      <c r="G53" s="25"/>
      <c r="H53" s="25"/>
      <c r="I53" s="24">
        <v>38.9</v>
      </c>
      <c r="J53" s="28">
        <f t="shared" si="1"/>
        <v>53.9</v>
      </c>
      <c r="K53" s="24">
        <f t="shared" si="3"/>
        <v>55</v>
      </c>
      <c r="L53" s="140">
        <v>12</v>
      </c>
    </row>
    <row r="54" spans="3:12" x14ac:dyDescent="0.2">
      <c r="C54" t="s">
        <v>299</v>
      </c>
      <c r="D54" s="24" t="s">
        <v>299</v>
      </c>
      <c r="E54" s="27">
        <f>1.6*30</f>
        <v>48</v>
      </c>
      <c r="F54" s="27">
        <f>2.3*30</f>
        <v>69</v>
      </c>
      <c r="G54" s="25"/>
      <c r="H54" s="25"/>
      <c r="I54" s="24">
        <v>45.8</v>
      </c>
      <c r="J54" s="28">
        <f t="shared" si="1"/>
        <v>60.8</v>
      </c>
      <c r="K54" s="24">
        <f t="shared" si="3"/>
        <v>60</v>
      </c>
      <c r="L54" s="140">
        <v>10</v>
      </c>
    </row>
    <row r="55" spans="3:12" x14ac:dyDescent="0.2">
      <c r="C55" t="s">
        <v>300</v>
      </c>
      <c r="D55" s="24" t="s">
        <v>300</v>
      </c>
      <c r="E55" s="27">
        <f>1.1*30</f>
        <v>33</v>
      </c>
      <c r="F55" s="27">
        <f>1.2*30</f>
        <v>36</v>
      </c>
      <c r="G55" s="25"/>
      <c r="H55" s="25"/>
      <c r="I55" s="24">
        <v>51.6</v>
      </c>
      <c r="J55" s="28">
        <f t="shared" si="1"/>
        <v>66.599999999999994</v>
      </c>
      <c r="K55" s="24">
        <f t="shared" si="3"/>
        <v>65</v>
      </c>
      <c r="L55" s="140">
        <v>4</v>
      </c>
    </row>
    <row r="56" spans="3:12" x14ac:dyDescent="0.2">
      <c r="C56" t="s">
        <v>301</v>
      </c>
      <c r="D56" s="97" t="s">
        <v>301</v>
      </c>
      <c r="E56" s="27">
        <f>3.92*30</f>
        <v>117.6</v>
      </c>
      <c r="F56" s="27">
        <f>4.57*30</f>
        <v>137.10000000000002</v>
      </c>
      <c r="G56" s="25">
        <f>1.98*30</f>
        <v>59.4</v>
      </c>
      <c r="H56" s="25">
        <f>5.86*30</f>
        <v>175.8</v>
      </c>
      <c r="I56" s="24">
        <v>29.3</v>
      </c>
      <c r="J56" s="28">
        <f t="shared" si="1"/>
        <v>44.3</v>
      </c>
      <c r="K56" s="24">
        <f t="shared" si="3"/>
        <v>45</v>
      </c>
      <c r="L56" s="140">
        <v>19</v>
      </c>
    </row>
    <row r="57" spans="3:12" x14ac:dyDescent="0.2">
      <c r="C57" t="s">
        <v>302</v>
      </c>
      <c r="D57" s="97" t="s">
        <v>303</v>
      </c>
      <c r="E57" s="27">
        <f>2.13*30</f>
        <v>63.9</v>
      </c>
      <c r="F57" s="27">
        <f>5.04*30</f>
        <v>151.19999999999999</v>
      </c>
      <c r="G57" s="25">
        <f>1.75*30</f>
        <v>52.5</v>
      </c>
      <c r="H57" s="25">
        <f>4.96*30</f>
        <v>148.80000000000001</v>
      </c>
      <c r="I57" s="24">
        <v>4.4000000000000004</v>
      </c>
      <c r="J57" s="28">
        <f t="shared" si="1"/>
        <v>19.399999999999999</v>
      </c>
      <c r="K57" s="24">
        <f t="shared" si="3"/>
        <v>20</v>
      </c>
      <c r="L57" s="140">
        <v>30</v>
      </c>
    </row>
    <row r="58" spans="3:12" x14ac:dyDescent="0.2">
      <c r="C58" s="91" t="s">
        <v>304</v>
      </c>
      <c r="D58" s="97" t="s">
        <v>304</v>
      </c>
      <c r="E58" s="27">
        <v>153</v>
      </c>
      <c r="F58" s="27">
        <v>168</v>
      </c>
      <c r="G58" s="25">
        <v>63</v>
      </c>
      <c r="H58" s="25">
        <v>180</v>
      </c>
      <c r="I58" s="24">
        <v>31.8</v>
      </c>
      <c r="J58" s="28">
        <v>46.8</v>
      </c>
      <c r="K58" s="24">
        <f t="shared" si="3"/>
        <v>45</v>
      </c>
      <c r="L58" s="140">
        <v>26</v>
      </c>
    </row>
  </sheetData>
  <mergeCells count="2">
    <mergeCell ref="E8:F8"/>
    <mergeCell ref="G8:H8"/>
  </mergeCells>
  <hyperlinks>
    <hyperlink ref="D6" r:id="rId1" xr:uid="{00000000-0004-0000-0000-000000000000}"/>
    <hyperlink ref="F5" r:id="rId2" xr:uid="{00000000-0004-0000-0000-000001000000}"/>
    <hyperlink ref="O12" r:id="rId3" xr:uid="{00000000-0004-0000-0000-000002000000}"/>
    <hyperlink ref="O14" r:id="rId4" xr:uid="{00000000-0004-0000-0000-000003000000}"/>
    <hyperlink ref="O18" r:id="rId5" xr:uid="{AFDE918F-747F-4571-B485-BBD948D64387}"/>
    <hyperlink ref="O15" r:id="rId6" xr:uid="{AE856C77-3B31-4E27-8038-17D0D7DF0A42}"/>
    <hyperlink ref="R13" r:id="rId7" xr:uid="{C45B3587-EDF1-4AC2-8241-7F49BFED5D2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01C9A-B5BB-486E-B14A-7B7DAFFF76BE}">
  <sheetPr codeName="Sheet3">
    <tabColor rgb="FFFF0000"/>
    <pageSetUpPr fitToPage="1"/>
  </sheetPr>
  <dimension ref="A1:AA97"/>
  <sheetViews>
    <sheetView topLeftCell="A21" workbookViewId="0">
      <selection activeCell="K77" sqref="K77"/>
    </sheetView>
  </sheetViews>
  <sheetFormatPr defaultColWidth="9.140625" defaultRowHeight="15" x14ac:dyDescent="0.25"/>
  <cols>
    <col min="1" max="1" width="14.7109375" style="40" customWidth="1"/>
    <col min="2" max="2" width="11.28515625" style="77" customWidth="1"/>
    <col min="3" max="3" width="12.42578125" style="40" customWidth="1"/>
    <col min="4" max="4" width="19.140625" style="40" customWidth="1"/>
    <col min="5" max="5" width="13.7109375" style="40" customWidth="1"/>
    <col min="6" max="6" width="14.85546875" style="40" customWidth="1"/>
    <col min="7" max="7" width="13.140625" style="40" customWidth="1"/>
    <col min="8" max="8" width="9.140625" style="40"/>
    <col min="9" max="9" width="12.140625" style="40" customWidth="1"/>
    <col min="10" max="10" width="10.5703125" style="40" customWidth="1"/>
    <col min="11" max="11" width="12" style="40" customWidth="1"/>
    <col min="12" max="12" width="9.140625" style="40" customWidth="1"/>
    <col min="13" max="13" width="9.140625" style="44"/>
    <col min="14" max="16384" width="9.140625" style="40"/>
  </cols>
  <sheetData>
    <row r="1" spans="1:27" x14ac:dyDescent="0.25">
      <c r="B1" s="41" t="s">
        <v>305</v>
      </c>
      <c r="C1" s="42">
        <v>44371</v>
      </c>
      <c r="D1" s="331" t="s">
        <v>306</v>
      </c>
      <c r="E1" s="331" t="s">
        <v>307</v>
      </c>
      <c r="F1" s="43"/>
      <c r="M1" s="332"/>
    </row>
    <row r="2" spans="1:27" ht="21" x14ac:dyDescent="0.35">
      <c r="A2" s="45" t="s">
        <v>308</v>
      </c>
      <c r="B2" s="46"/>
      <c r="C2" s="45"/>
      <c r="D2" s="45"/>
      <c r="E2" s="45"/>
      <c r="F2" s="45"/>
      <c r="G2" s="45"/>
      <c r="H2" s="45"/>
      <c r="I2" s="45"/>
      <c r="J2" s="45"/>
      <c r="K2" s="45"/>
      <c r="L2" s="45"/>
      <c r="M2" s="40"/>
      <c r="P2" s="47" t="s">
        <v>309</v>
      </c>
      <c r="Q2" s="49" t="s">
        <v>310</v>
      </c>
    </row>
    <row r="3" spans="1:27" x14ac:dyDescent="0.25">
      <c r="A3" s="47" t="s">
        <v>311</v>
      </c>
      <c r="B3" s="128"/>
      <c r="C3" s="47" t="s">
        <v>312</v>
      </c>
      <c r="D3" s="47"/>
      <c r="E3" s="47"/>
      <c r="F3" s="47"/>
      <c r="G3" s="48"/>
      <c r="H3" s="43"/>
      <c r="I3" s="49"/>
      <c r="K3" s="49"/>
      <c r="L3" s="49"/>
      <c r="M3" s="40"/>
      <c r="P3" s="47">
        <f>1000*0.1</f>
        <v>100</v>
      </c>
      <c r="Q3" s="47">
        <v>0</v>
      </c>
    </row>
    <row r="4" spans="1:27" x14ac:dyDescent="0.25">
      <c r="A4" s="128" t="s">
        <v>313</v>
      </c>
      <c r="B4" s="128"/>
      <c r="C4" s="128">
        <v>0.375</v>
      </c>
      <c r="D4" s="128"/>
      <c r="E4" s="128"/>
      <c r="F4" s="128"/>
      <c r="G4" s="51" t="s">
        <v>314</v>
      </c>
      <c r="H4" s="333" t="s">
        <v>315</v>
      </c>
      <c r="I4" s="182"/>
      <c r="J4" s="183" t="s">
        <v>19</v>
      </c>
      <c r="K4" s="184"/>
      <c r="L4" s="183"/>
      <c r="M4" s="334"/>
      <c r="N4" s="182"/>
      <c r="O4" s="47"/>
      <c r="P4" s="47">
        <f>1000*0.2</f>
        <v>200</v>
      </c>
      <c r="Q4" s="47">
        <v>100</v>
      </c>
      <c r="S4" s="335" t="s">
        <v>316</v>
      </c>
    </row>
    <row r="5" spans="1:27" x14ac:dyDescent="0.25">
      <c r="A5" s="128" t="s">
        <v>317</v>
      </c>
      <c r="B5" s="128"/>
      <c r="C5" s="128">
        <v>25.6</v>
      </c>
      <c r="D5" s="128"/>
      <c r="E5" s="128"/>
      <c r="F5" s="128"/>
      <c r="G5" s="52" t="s">
        <v>318</v>
      </c>
      <c r="H5" s="185">
        <v>73.5</v>
      </c>
      <c r="I5" s="184"/>
      <c r="J5" s="182">
        <f>H5/1000*25</f>
        <v>1.8374999999999999</v>
      </c>
      <c r="K5" s="186" t="s">
        <v>319</v>
      </c>
      <c r="L5" s="182"/>
      <c r="M5" s="334"/>
      <c r="N5" s="182"/>
      <c r="O5" s="47"/>
      <c r="P5" s="47">
        <f>1000*0.4</f>
        <v>400</v>
      </c>
      <c r="Q5" s="47">
        <v>500</v>
      </c>
      <c r="S5" s="40">
        <v>300</v>
      </c>
    </row>
    <row r="6" spans="1:27" x14ac:dyDescent="0.25">
      <c r="A6" s="128" t="s">
        <v>320</v>
      </c>
      <c r="B6" s="128"/>
      <c r="C6" s="128">
        <f>0.15-0.014</f>
        <v>0.13599999999999998</v>
      </c>
      <c r="D6" s="128"/>
      <c r="E6" s="128"/>
      <c r="F6" s="128"/>
      <c r="G6" s="51" t="s">
        <v>321</v>
      </c>
      <c r="H6" s="185">
        <v>64.3</v>
      </c>
      <c r="I6" s="184"/>
      <c r="J6" s="182">
        <f>H6/1000*25</f>
        <v>1.6074999999999999</v>
      </c>
      <c r="K6" s="186" t="s">
        <v>319</v>
      </c>
      <c r="L6" s="182"/>
      <c r="M6" s="334"/>
      <c r="N6" s="182"/>
      <c r="O6" s="47"/>
      <c r="P6" s="47">
        <f>1000*0.6</f>
        <v>600</v>
      </c>
      <c r="Q6" s="47">
        <v>1000</v>
      </c>
    </row>
    <row r="7" spans="1:27" x14ac:dyDescent="0.25">
      <c r="A7" s="53" t="s">
        <v>322</v>
      </c>
      <c r="B7" s="128"/>
      <c r="C7" s="128" t="s">
        <v>323</v>
      </c>
      <c r="D7" s="128"/>
      <c r="E7" s="128"/>
      <c r="F7" s="128"/>
      <c r="H7" s="182"/>
      <c r="I7" s="182" t="s">
        <v>324</v>
      </c>
      <c r="J7" s="183">
        <f>J5-J6</f>
        <v>0.22999999999999998</v>
      </c>
      <c r="K7" s="183" t="s">
        <v>19</v>
      </c>
      <c r="L7" s="186" t="s">
        <v>325</v>
      </c>
      <c r="M7" s="334"/>
      <c r="N7" s="182"/>
      <c r="O7" s="47"/>
      <c r="P7" s="47">
        <f>1000*0.8</f>
        <v>800</v>
      </c>
      <c r="Q7" s="47">
        <v>2000</v>
      </c>
    </row>
    <row r="8" spans="1:27" ht="15.75" thickBot="1" x14ac:dyDescent="0.3">
      <c r="A8" s="53" t="s">
        <v>326</v>
      </c>
      <c r="B8" s="128"/>
      <c r="C8" s="126" t="s">
        <v>327</v>
      </c>
      <c r="D8" s="53"/>
      <c r="E8" s="53"/>
      <c r="F8" s="53"/>
      <c r="G8" s="40" t="s">
        <v>328</v>
      </c>
      <c r="J8" s="50"/>
      <c r="K8" s="50"/>
      <c r="L8" s="50"/>
      <c r="M8" s="336"/>
      <c r="O8" s="54"/>
      <c r="P8" s="54">
        <v>1000</v>
      </c>
      <c r="Q8" s="71">
        <v>3000</v>
      </c>
    </row>
    <row r="9" spans="1:27" x14ac:dyDescent="0.25">
      <c r="A9" s="47" t="s">
        <v>205</v>
      </c>
      <c r="C9" s="394" t="s">
        <v>329</v>
      </c>
      <c r="D9" s="395"/>
      <c r="E9" s="396"/>
      <c r="F9" s="397" t="s">
        <v>330</v>
      </c>
      <c r="G9" s="397"/>
      <c r="H9" s="397"/>
      <c r="I9" s="55" t="s">
        <v>331</v>
      </c>
      <c r="J9" s="56" t="s">
        <v>332</v>
      </c>
      <c r="K9" s="57" t="s">
        <v>333</v>
      </c>
      <c r="L9" s="398"/>
      <c r="M9" s="399"/>
      <c r="N9" s="399"/>
      <c r="O9" s="58"/>
      <c r="P9" s="337" t="s">
        <v>334</v>
      </c>
      <c r="Z9" s="40">
        <v>10</v>
      </c>
      <c r="AA9" s="40">
        <f t="shared" ref="AA9:AA14" si="0">Z9/400*600</f>
        <v>15</v>
      </c>
    </row>
    <row r="10" spans="1:27" ht="15.75" thickBot="1" x14ac:dyDescent="0.3">
      <c r="A10" s="128" t="s">
        <v>8</v>
      </c>
      <c r="B10" s="128" t="s">
        <v>18</v>
      </c>
      <c r="C10" s="53" t="s">
        <v>335</v>
      </c>
      <c r="D10" s="50" t="s">
        <v>336</v>
      </c>
      <c r="E10" s="61" t="s">
        <v>19</v>
      </c>
      <c r="F10" s="62" t="s">
        <v>337</v>
      </c>
      <c r="G10" s="53" t="s">
        <v>338</v>
      </c>
      <c r="H10" s="53" t="s">
        <v>339</v>
      </c>
      <c r="I10" s="64" t="s">
        <v>340</v>
      </c>
      <c r="J10" s="60" t="s">
        <v>19</v>
      </c>
      <c r="K10" s="63" t="s">
        <v>341</v>
      </c>
      <c r="L10" s="63"/>
      <c r="M10" s="65" t="s">
        <v>342</v>
      </c>
      <c r="N10" s="66"/>
      <c r="O10" s="338" t="s">
        <v>343</v>
      </c>
      <c r="P10" s="68" t="s">
        <v>344</v>
      </c>
      <c r="Q10" s="69"/>
      <c r="R10" s="70"/>
      <c r="S10" s="70"/>
      <c r="Z10" s="40">
        <v>50</v>
      </c>
      <c r="AA10" s="40">
        <f t="shared" si="0"/>
        <v>75</v>
      </c>
    </row>
    <row r="11" spans="1:27" x14ac:dyDescent="0.25">
      <c r="A11" s="74">
        <f t="shared" ref="A11:A16" si="1">Q3</f>
        <v>0</v>
      </c>
      <c r="B11" s="128">
        <f t="shared" ref="B11:B16" si="2">P$3</f>
        <v>100</v>
      </c>
      <c r="C11" s="43">
        <v>509</v>
      </c>
      <c r="D11" s="43">
        <v>180</v>
      </c>
      <c r="E11" s="339">
        <f t="shared" ref="E11:E16" si="3">C11/1000*3600/D11</f>
        <v>10.18</v>
      </c>
      <c r="F11" s="100">
        <f t="shared" ref="F11:F16" si="4">E11-$J$7</f>
        <v>9.9499999999999993</v>
      </c>
      <c r="G11" s="24">
        <v>60</v>
      </c>
      <c r="H11" s="24">
        <v>32</v>
      </c>
      <c r="I11" s="72">
        <f t="shared" ref="I11:I16" si="5">60*H11/G11</f>
        <v>32</v>
      </c>
      <c r="J11" s="101">
        <f t="shared" ref="J11:J16" si="6">I11/100*A11/100*0.8</f>
        <v>0</v>
      </c>
      <c r="K11" s="340">
        <f t="shared" ref="K11:K16" si="7">J11/E11</f>
        <v>0</v>
      </c>
      <c r="L11" s="41"/>
      <c r="M11" s="341"/>
      <c r="N11" s="73"/>
      <c r="O11" s="342">
        <v>1</v>
      </c>
      <c r="P11" s="43">
        <f t="shared" ref="P11:P16" si="8">I11*O11</f>
        <v>32</v>
      </c>
      <c r="Q11" s="69"/>
      <c r="R11" s="70"/>
      <c r="S11" s="70"/>
    </row>
    <row r="12" spans="1:27" x14ac:dyDescent="0.25">
      <c r="A12" s="74">
        <f t="shared" si="1"/>
        <v>100</v>
      </c>
      <c r="B12" s="128">
        <f t="shared" si="2"/>
        <v>100</v>
      </c>
      <c r="C12" s="43">
        <v>536</v>
      </c>
      <c r="D12" s="43">
        <v>180</v>
      </c>
      <c r="E12" s="339">
        <f t="shared" si="3"/>
        <v>10.72</v>
      </c>
      <c r="F12" s="100">
        <f t="shared" si="4"/>
        <v>10.49</v>
      </c>
      <c r="G12" s="24">
        <v>60</v>
      </c>
      <c r="H12" s="24">
        <v>31</v>
      </c>
      <c r="I12" s="72">
        <f t="shared" si="5"/>
        <v>31</v>
      </c>
      <c r="J12" s="101">
        <f t="shared" si="6"/>
        <v>0.248</v>
      </c>
      <c r="K12" s="340">
        <f t="shared" si="7"/>
        <v>2.3134328358208955E-2</v>
      </c>
      <c r="L12" s="41"/>
      <c r="M12" s="341">
        <f>I12/$I$12</f>
        <v>1</v>
      </c>
      <c r="N12" s="73"/>
      <c r="O12" s="342">
        <v>1</v>
      </c>
      <c r="P12" s="43">
        <f t="shared" si="8"/>
        <v>31</v>
      </c>
      <c r="Z12" s="40">
        <v>100</v>
      </c>
      <c r="AA12" s="40">
        <f t="shared" si="0"/>
        <v>150</v>
      </c>
    </row>
    <row r="13" spans="1:27" x14ac:dyDescent="0.25">
      <c r="A13" s="74">
        <f t="shared" si="1"/>
        <v>500</v>
      </c>
      <c r="B13" s="128">
        <f t="shared" si="2"/>
        <v>100</v>
      </c>
      <c r="C13" s="43">
        <v>596</v>
      </c>
      <c r="D13" s="43">
        <v>180</v>
      </c>
      <c r="E13" s="339">
        <f t="shared" si="3"/>
        <v>11.92</v>
      </c>
      <c r="F13" s="100">
        <f t="shared" si="4"/>
        <v>11.69</v>
      </c>
      <c r="G13" s="24">
        <v>60</v>
      </c>
      <c r="H13" s="24">
        <v>29</v>
      </c>
      <c r="I13" s="72">
        <f t="shared" si="5"/>
        <v>29</v>
      </c>
      <c r="J13" s="101">
        <f t="shared" si="6"/>
        <v>1.1599999999999999</v>
      </c>
      <c r="K13" s="340">
        <f t="shared" si="7"/>
        <v>9.7315436241610737E-2</v>
      </c>
      <c r="L13" s="41"/>
      <c r="M13" s="341">
        <f>I13/$I$12</f>
        <v>0.93548387096774188</v>
      </c>
      <c r="N13" s="73"/>
      <c r="O13" s="342">
        <v>1</v>
      </c>
      <c r="P13" s="43">
        <f t="shared" si="8"/>
        <v>29</v>
      </c>
      <c r="Z13" s="40">
        <v>200</v>
      </c>
      <c r="AA13" s="40">
        <f t="shared" si="0"/>
        <v>300</v>
      </c>
    </row>
    <row r="14" spans="1:27" x14ac:dyDescent="0.25">
      <c r="A14" s="74">
        <f t="shared" si="1"/>
        <v>1000</v>
      </c>
      <c r="B14" s="128">
        <f t="shared" si="2"/>
        <v>100</v>
      </c>
      <c r="C14" s="43">
        <v>696</v>
      </c>
      <c r="D14" s="43">
        <v>180</v>
      </c>
      <c r="E14" s="339">
        <f t="shared" si="3"/>
        <v>13.92</v>
      </c>
      <c r="F14" s="100">
        <f t="shared" si="4"/>
        <v>13.69</v>
      </c>
      <c r="G14" s="24">
        <v>60</v>
      </c>
      <c r="H14" s="24">
        <v>28</v>
      </c>
      <c r="I14" s="72">
        <f t="shared" si="5"/>
        <v>28</v>
      </c>
      <c r="J14" s="101">
        <f t="shared" si="6"/>
        <v>2.2399999999999998</v>
      </c>
      <c r="K14" s="340">
        <f t="shared" si="7"/>
        <v>0.16091954022988506</v>
      </c>
      <c r="L14" s="41"/>
      <c r="M14" s="341">
        <f>I14/$I$12</f>
        <v>0.90322580645161288</v>
      </c>
      <c r="N14" s="73"/>
      <c r="O14" s="342">
        <v>1</v>
      </c>
      <c r="P14" s="43">
        <f t="shared" si="8"/>
        <v>28</v>
      </c>
      <c r="Z14" s="40">
        <v>300</v>
      </c>
      <c r="AA14" s="40">
        <f t="shared" si="0"/>
        <v>450</v>
      </c>
    </row>
    <row r="15" spans="1:27" x14ac:dyDescent="0.25">
      <c r="A15" s="74">
        <f t="shared" si="1"/>
        <v>2000</v>
      </c>
      <c r="B15" s="128">
        <f t="shared" si="2"/>
        <v>100</v>
      </c>
      <c r="C15" s="43">
        <v>920</v>
      </c>
      <c r="D15" s="43">
        <v>180</v>
      </c>
      <c r="E15" s="339">
        <f t="shared" si="3"/>
        <v>18.399999999999999</v>
      </c>
      <c r="F15" s="100">
        <f t="shared" si="4"/>
        <v>18.169999999999998</v>
      </c>
      <c r="G15" s="24">
        <v>60</v>
      </c>
      <c r="H15" s="24">
        <v>26</v>
      </c>
      <c r="I15" s="72">
        <f t="shared" si="5"/>
        <v>26</v>
      </c>
      <c r="J15" s="101">
        <f t="shared" si="6"/>
        <v>4.16</v>
      </c>
      <c r="K15" s="340">
        <f t="shared" si="7"/>
        <v>0.22608695652173916</v>
      </c>
      <c r="L15" s="41"/>
      <c r="M15" s="341">
        <f>I15/$I$12</f>
        <v>0.83870967741935487</v>
      </c>
      <c r="N15" s="73"/>
      <c r="O15" s="342">
        <v>1</v>
      </c>
      <c r="P15" s="43">
        <f t="shared" si="8"/>
        <v>26</v>
      </c>
      <c r="Z15" s="40">
        <v>400</v>
      </c>
      <c r="AA15" s="40">
        <f>Z15/400*600</f>
        <v>600</v>
      </c>
    </row>
    <row r="16" spans="1:27" x14ac:dyDescent="0.25">
      <c r="A16" s="74">
        <f t="shared" si="1"/>
        <v>3000</v>
      </c>
      <c r="B16" s="128">
        <f t="shared" si="2"/>
        <v>100</v>
      </c>
      <c r="C16" s="43">
        <v>1025</v>
      </c>
      <c r="D16" s="43">
        <v>180</v>
      </c>
      <c r="E16" s="339">
        <f t="shared" si="3"/>
        <v>20.499999999999996</v>
      </c>
      <c r="F16" s="100">
        <f t="shared" si="4"/>
        <v>20.269999999999996</v>
      </c>
      <c r="G16" s="24">
        <v>60</v>
      </c>
      <c r="H16" s="24">
        <v>24</v>
      </c>
      <c r="I16" s="72">
        <f t="shared" si="5"/>
        <v>24</v>
      </c>
      <c r="J16" s="101">
        <f t="shared" si="6"/>
        <v>5.7600000000000007</v>
      </c>
      <c r="K16" s="340">
        <f t="shared" si="7"/>
        <v>0.28097560975609764</v>
      </c>
      <c r="L16" s="41"/>
      <c r="M16" s="341">
        <f>I16/$I$12</f>
        <v>0.77419354838709675</v>
      </c>
      <c r="N16" s="73"/>
      <c r="O16" s="342">
        <v>1</v>
      </c>
      <c r="P16" s="43">
        <f t="shared" si="8"/>
        <v>24</v>
      </c>
    </row>
    <row r="17" spans="1:27" x14ac:dyDescent="0.25">
      <c r="A17" s="74"/>
      <c r="B17" s="74"/>
      <c r="C17" s="43"/>
      <c r="D17" s="43"/>
      <c r="E17" s="343"/>
      <c r="F17" s="100"/>
      <c r="G17" s="24"/>
      <c r="H17" s="24"/>
      <c r="I17" s="72"/>
      <c r="J17" s="101"/>
      <c r="K17" s="41"/>
      <c r="L17" s="41"/>
      <c r="M17" s="341"/>
      <c r="N17" s="73"/>
      <c r="O17" s="342"/>
      <c r="P17" s="43"/>
    </row>
    <row r="18" spans="1:27" x14ac:dyDescent="0.25">
      <c r="A18" s="74">
        <f t="shared" ref="A18:A23" si="9">Q3</f>
        <v>0</v>
      </c>
      <c r="B18" s="74">
        <f t="shared" ref="B18:B23" si="10">P$4</f>
        <v>200</v>
      </c>
      <c r="C18" s="43">
        <v>676</v>
      </c>
      <c r="D18" s="43">
        <v>180</v>
      </c>
      <c r="E18" s="339">
        <f t="shared" ref="E18:E23" si="11">C18/1000*3600/D18</f>
        <v>13.520000000000001</v>
      </c>
      <c r="F18" s="100">
        <f t="shared" ref="F18:F23" si="12">E18-$J$7</f>
        <v>13.290000000000001</v>
      </c>
      <c r="G18" s="24">
        <v>60</v>
      </c>
      <c r="H18" s="24">
        <v>64</v>
      </c>
      <c r="I18" s="72">
        <f t="shared" ref="I18:I23" si="13">60*H18/G18</f>
        <v>64</v>
      </c>
      <c r="J18" s="101">
        <f t="shared" ref="J18:J23" si="14">I18/100*A18/100*0.8</f>
        <v>0</v>
      </c>
      <c r="K18" s="340">
        <f t="shared" ref="K18:K23" si="15">J18/E18</f>
        <v>0</v>
      </c>
      <c r="L18" s="41"/>
      <c r="M18" s="341"/>
      <c r="N18" s="73"/>
      <c r="O18" s="342">
        <f t="shared" ref="O18:O23" si="16">B18/S$5</f>
        <v>0.66666666666666663</v>
      </c>
      <c r="P18" s="43">
        <f t="shared" ref="P18:P23" si="17">I18*O18</f>
        <v>42.666666666666664</v>
      </c>
      <c r="Q18" s="69"/>
      <c r="R18" s="70"/>
      <c r="S18" s="70"/>
    </row>
    <row r="19" spans="1:27" x14ac:dyDescent="0.25">
      <c r="A19" s="74">
        <f t="shared" si="9"/>
        <v>100</v>
      </c>
      <c r="B19" s="74">
        <f t="shared" si="10"/>
        <v>200</v>
      </c>
      <c r="C19" s="43">
        <v>753</v>
      </c>
      <c r="D19" s="43">
        <v>180</v>
      </c>
      <c r="E19" s="339">
        <f t="shared" si="11"/>
        <v>15.06</v>
      </c>
      <c r="F19" s="100">
        <f t="shared" si="12"/>
        <v>14.83</v>
      </c>
      <c r="G19" s="24">
        <v>60</v>
      </c>
      <c r="H19" s="24">
        <v>62</v>
      </c>
      <c r="I19" s="72">
        <f t="shared" si="13"/>
        <v>62</v>
      </c>
      <c r="J19" s="101">
        <f t="shared" si="14"/>
        <v>0.496</v>
      </c>
      <c r="K19" s="340">
        <f t="shared" si="15"/>
        <v>3.2934926958831337E-2</v>
      </c>
      <c r="L19" s="41"/>
      <c r="M19" s="341">
        <f>I19/$I$19</f>
        <v>1</v>
      </c>
      <c r="N19" s="73"/>
      <c r="O19" s="342">
        <f t="shared" si="16"/>
        <v>0.66666666666666663</v>
      </c>
      <c r="P19" s="43">
        <f t="shared" si="17"/>
        <v>41.333333333333329</v>
      </c>
      <c r="Z19" s="40">
        <v>100</v>
      </c>
      <c r="AA19" s="40">
        <f>Z19/400*600</f>
        <v>150</v>
      </c>
    </row>
    <row r="20" spans="1:27" x14ac:dyDescent="0.25">
      <c r="A20" s="74">
        <f t="shared" si="9"/>
        <v>500</v>
      </c>
      <c r="B20" s="74">
        <f t="shared" si="10"/>
        <v>200</v>
      </c>
      <c r="C20" s="43">
        <v>848</v>
      </c>
      <c r="D20" s="43">
        <v>180</v>
      </c>
      <c r="E20" s="339">
        <f t="shared" si="11"/>
        <v>16.959999999999997</v>
      </c>
      <c r="F20" s="100">
        <f t="shared" si="12"/>
        <v>16.729999999999997</v>
      </c>
      <c r="G20" s="24">
        <v>60</v>
      </c>
      <c r="H20" s="24">
        <v>61</v>
      </c>
      <c r="I20" s="72">
        <f t="shared" si="13"/>
        <v>61</v>
      </c>
      <c r="J20" s="101">
        <f t="shared" si="14"/>
        <v>2.44</v>
      </c>
      <c r="K20" s="340">
        <f t="shared" si="15"/>
        <v>0.14386792452830191</v>
      </c>
      <c r="L20" s="41"/>
      <c r="M20" s="341">
        <f>I20/$I$19</f>
        <v>0.9838709677419355</v>
      </c>
      <c r="N20" s="73"/>
      <c r="O20" s="342">
        <f t="shared" si="16"/>
        <v>0.66666666666666663</v>
      </c>
      <c r="P20" s="43">
        <f t="shared" si="17"/>
        <v>40.666666666666664</v>
      </c>
      <c r="Z20" s="40">
        <v>200</v>
      </c>
      <c r="AA20" s="40">
        <f>Z20/400*600</f>
        <v>300</v>
      </c>
    </row>
    <row r="21" spans="1:27" x14ac:dyDescent="0.25">
      <c r="A21" s="74">
        <f t="shared" si="9"/>
        <v>1000</v>
      </c>
      <c r="B21" s="74">
        <f t="shared" si="10"/>
        <v>200</v>
      </c>
      <c r="C21" s="43">
        <v>1086</v>
      </c>
      <c r="D21" s="43">
        <v>180</v>
      </c>
      <c r="E21" s="339">
        <f t="shared" si="11"/>
        <v>21.720000000000002</v>
      </c>
      <c r="F21" s="100">
        <f t="shared" si="12"/>
        <v>21.490000000000002</v>
      </c>
      <c r="G21" s="24">
        <v>60</v>
      </c>
      <c r="H21" s="24">
        <v>57</v>
      </c>
      <c r="I21" s="72">
        <f t="shared" si="13"/>
        <v>57</v>
      </c>
      <c r="J21" s="101">
        <f t="shared" si="14"/>
        <v>4.5600000000000005</v>
      </c>
      <c r="K21" s="340">
        <f t="shared" si="15"/>
        <v>0.20994475138121546</v>
      </c>
      <c r="L21" s="41"/>
      <c r="M21" s="341">
        <f>I21/$I$19</f>
        <v>0.91935483870967738</v>
      </c>
      <c r="N21" s="73"/>
      <c r="O21" s="342">
        <f t="shared" si="16"/>
        <v>0.66666666666666663</v>
      </c>
      <c r="P21" s="43">
        <f t="shared" si="17"/>
        <v>38</v>
      </c>
      <c r="Z21" s="40">
        <v>300</v>
      </c>
      <c r="AA21" s="40">
        <f>Z21/400*600</f>
        <v>450</v>
      </c>
    </row>
    <row r="22" spans="1:27" x14ac:dyDescent="0.25">
      <c r="A22" s="74">
        <f t="shared" si="9"/>
        <v>2000</v>
      </c>
      <c r="B22" s="74">
        <f t="shared" si="10"/>
        <v>200</v>
      </c>
      <c r="C22" s="43">
        <v>1561</v>
      </c>
      <c r="D22" s="43">
        <v>180</v>
      </c>
      <c r="E22" s="339">
        <f t="shared" si="11"/>
        <v>31.219999999999995</v>
      </c>
      <c r="F22" s="100">
        <f t="shared" si="12"/>
        <v>30.989999999999995</v>
      </c>
      <c r="G22" s="24">
        <v>60</v>
      </c>
      <c r="H22" s="24">
        <v>53</v>
      </c>
      <c r="I22" s="72">
        <f t="shared" si="13"/>
        <v>53</v>
      </c>
      <c r="J22" s="101">
        <f t="shared" si="14"/>
        <v>8.48</v>
      </c>
      <c r="K22" s="340">
        <f t="shared" si="15"/>
        <v>0.27162075592568874</v>
      </c>
      <c r="L22" s="41"/>
      <c r="M22" s="341">
        <f>I22/$I$19</f>
        <v>0.85483870967741937</v>
      </c>
      <c r="N22" s="73"/>
      <c r="O22" s="342">
        <f t="shared" si="16"/>
        <v>0.66666666666666663</v>
      </c>
      <c r="P22" s="43">
        <f t="shared" si="17"/>
        <v>35.333333333333329</v>
      </c>
      <c r="Z22" s="40">
        <v>400</v>
      </c>
      <c r="AA22" s="40">
        <f>Z22/400*600</f>
        <v>600</v>
      </c>
    </row>
    <row r="23" spans="1:27" x14ac:dyDescent="0.25">
      <c r="A23" s="74">
        <f t="shared" si="9"/>
        <v>3000</v>
      </c>
      <c r="B23" s="74">
        <f t="shared" si="10"/>
        <v>200</v>
      </c>
      <c r="C23" s="43">
        <v>1804</v>
      </c>
      <c r="D23" s="43">
        <v>180</v>
      </c>
      <c r="E23" s="339">
        <f t="shared" si="11"/>
        <v>36.080000000000005</v>
      </c>
      <c r="F23" s="100">
        <f t="shared" si="12"/>
        <v>35.850000000000009</v>
      </c>
      <c r="G23" s="24">
        <v>60</v>
      </c>
      <c r="H23" s="24">
        <v>49</v>
      </c>
      <c r="I23" s="72">
        <f t="shared" si="13"/>
        <v>49</v>
      </c>
      <c r="J23" s="101">
        <f t="shared" si="14"/>
        <v>11.76</v>
      </c>
      <c r="K23" s="340">
        <f t="shared" si="15"/>
        <v>0.32594235033259417</v>
      </c>
      <c r="L23" s="41"/>
      <c r="M23" s="341">
        <f>I23/$I$19</f>
        <v>0.79032258064516125</v>
      </c>
      <c r="N23" s="73"/>
      <c r="O23" s="342">
        <f t="shared" si="16"/>
        <v>0.66666666666666663</v>
      </c>
      <c r="P23" s="43">
        <f t="shared" si="17"/>
        <v>32.666666666666664</v>
      </c>
    </row>
    <row r="24" spans="1:27" x14ac:dyDescent="0.25">
      <c r="A24" s="128"/>
      <c r="B24" s="128"/>
      <c r="C24" s="43"/>
      <c r="D24" s="43"/>
      <c r="E24" s="343"/>
      <c r="F24" s="100"/>
      <c r="G24" s="24"/>
      <c r="H24" s="24"/>
      <c r="I24" s="72"/>
      <c r="J24" s="101"/>
      <c r="K24" s="41"/>
      <c r="L24" s="41"/>
      <c r="M24" s="341"/>
      <c r="N24" s="73"/>
      <c r="O24" s="43"/>
      <c r="P24" s="43"/>
    </row>
    <row r="25" spans="1:27" x14ac:dyDescent="0.25">
      <c r="A25" s="128">
        <f t="shared" ref="A25:A30" si="18">Q3</f>
        <v>0</v>
      </c>
      <c r="B25" s="128">
        <f t="shared" ref="B25:B30" si="19">P$5</f>
        <v>400</v>
      </c>
      <c r="C25" s="43">
        <v>668</v>
      </c>
      <c r="D25" s="43">
        <v>120</v>
      </c>
      <c r="E25" s="339">
        <f t="shared" ref="E25:E30" si="20">C25/1000*3600/D25</f>
        <v>20.040000000000003</v>
      </c>
      <c r="F25" s="100">
        <f t="shared" ref="F25:F30" si="21">E25-$J$7</f>
        <v>19.810000000000002</v>
      </c>
      <c r="G25" s="24">
        <v>37</v>
      </c>
      <c r="H25" s="24">
        <v>80</v>
      </c>
      <c r="I25" s="72">
        <f t="shared" ref="I25:I30" si="22">60*H25/G25</f>
        <v>129.72972972972974</v>
      </c>
      <c r="J25" s="101">
        <f t="shared" ref="J25:J30" si="23">I25/100*A25/100*0.8</f>
        <v>0</v>
      </c>
      <c r="K25" s="340">
        <f t="shared" ref="K25:K30" si="24">J25/E25</f>
        <v>0</v>
      </c>
      <c r="L25" s="41"/>
      <c r="M25" s="341"/>
      <c r="N25" s="73"/>
      <c r="O25" s="43"/>
      <c r="P25" s="43"/>
      <c r="Q25" s="69"/>
      <c r="R25" s="70"/>
      <c r="S25" s="70"/>
    </row>
    <row r="26" spans="1:27" x14ac:dyDescent="0.25">
      <c r="A26" s="128">
        <f t="shared" si="18"/>
        <v>100</v>
      </c>
      <c r="B26" s="128">
        <f t="shared" si="19"/>
        <v>400</v>
      </c>
      <c r="C26" s="43">
        <v>769</v>
      </c>
      <c r="D26" s="43">
        <v>120</v>
      </c>
      <c r="E26" s="339">
        <f t="shared" si="20"/>
        <v>23.07</v>
      </c>
      <c r="F26" s="100">
        <f t="shared" si="21"/>
        <v>22.84</v>
      </c>
      <c r="G26" s="24">
        <v>38</v>
      </c>
      <c r="H26" s="24">
        <v>80</v>
      </c>
      <c r="I26" s="72">
        <f t="shared" si="22"/>
        <v>126.31578947368421</v>
      </c>
      <c r="J26" s="101">
        <f t="shared" si="23"/>
        <v>1.0105263157894737</v>
      </c>
      <c r="K26" s="340">
        <f t="shared" si="24"/>
        <v>4.380261446855109E-2</v>
      </c>
      <c r="L26" s="41"/>
      <c r="M26" s="341">
        <f>I26/$I$26</f>
        <v>1</v>
      </c>
      <c r="N26" s="73"/>
      <c r="O26" s="43"/>
      <c r="P26" s="43"/>
      <c r="Z26" s="40">
        <v>100</v>
      </c>
      <c r="AA26" s="40">
        <f>Z26/400*600</f>
        <v>150</v>
      </c>
    </row>
    <row r="27" spans="1:27" x14ac:dyDescent="0.25">
      <c r="A27" s="128">
        <f t="shared" si="18"/>
        <v>500</v>
      </c>
      <c r="B27" s="128">
        <f t="shared" si="19"/>
        <v>400</v>
      </c>
      <c r="C27" s="43">
        <v>910</v>
      </c>
      <c r="D27" s="43">
        <v>120</v>
      </c>
      <c r="E27" s="339">
        <f t="shared" si="20"/>
        <v>27.3</v>
      </c>
      <c r="F27" s="100">
        <f t="shared" si="21"/>
        <v>27.07</v>
      </c>
      <c r="G27" s="24">
        <v>40</v>
      </c>
      <c r="H27" s="24">
        <v>80</v>
      </c>
      <c r="I27" s="72">
        <f t="shared" si="22"/>
        <v>120</v>
      </c>
      <c r="J27" s="101">
        <f t="shared" si="23"/>
        <v>4.8000000000000007</v>
      </c>
      <c r="K27" s="340">
        <f t="shared" si="24"/>
        <v>0.17582417582417584</v>
      </c>
      <c r="L27" s="41"/>
      <c r="M27" s="341">
        <f>I27/$I$26</f>
        <v>0.95000000000000007</v>
      </c>
      <c r="N27" s="73"/>
      <c r="O27" s="43"/>
      <c r="P27" s="43"/>
      <c r="Z27" s="40">
        <v>200</v>
      </c>
      <c r="AA27" s="40">
        <f>Z27/400*600</f>
        <v>300</v>
      </c>
    </row>
    <row r="28" spans="1:27" x14ac:dyDescent="0.25">
      <c r="A28" s="128">
        <f t="shared" si="18"/>
        <v>1000</v>
      </c>
      <c r="B28" s="128">
        <f t="shared" si="19"/>
        <v>400</v>
      </c>
      <c r="C28" s="43">
        <v>1163</v>
      </c>
      <c r="D28" s="43">
        <v>120</v>
      </c>
      <c r="E28" s="339">
        <f t="shared" si="20"/>
        <v>34.89</v>
      </c>
      <c r="F28" s="100">
        <f t="shared" si="21"/>
        <v>34.660000000000004</v>
      </c>
      <c r="G28" s="24">
        <v>41</v>
      </c>
      <c r="H28" s="24">
        <v>80</v>
      </c>
      <c r="I28" s="72">
        <f t="shared" si="22"/>
        <v>117.07317073170732</v>
      </c>
      <c r="J28" s="101">
        <f t="shared" si="23"/>
        <v>9.3658536585365884</v>
      </c>
      <c r="K28" s="340">
        <f t="shared" si="24"/>
        <v>0.26843948577061016</v>
      </c>
      <c r="L28" s="41"/>
      <c r="M28" s="341">
        <f>I28/$I$26</f>
        <v>0.92682926829268297</v>
      </c>
      <c r="N28" s="73"/>
      <c r="O28" s="43"/>
      <c r="P28" s="43"/>
      <c r="Z28" s="40">
        <v>300</v>
      </c>
      <c r="AA28" s="40">
        <f>Z28/400*600</f>
        <v>450</v>
      </c>
    </row>
    <row r="29" spans="1:27" x14ac:dyDescent="0.25">
      <c r="A29" s="128">
        <f t="shared" si="18"/>
        <v>2000</v>
      </c>
      <c r="B29" s="128">
        <f t="shared" si="19"/>
        <v>400</v>
      </c>
      <c r="C29" s="43">
        <v>1720</v>
      </c>
      <c r="D29" s="43">
        <v>120</v>
      </c>
      <c r="E29" s="339">
        <f t="shared" si="20"/>
        <v>51.6</v>
      </c>
      <c r="F29" s="100">
        <f t="shared" si="21"/>
        <v>51.370000000000005</v>
      </c>
      <c r="G29" s="24">
        <v>45</v>
      </c>
      <c r="H29" s="24">
        <v>80</v>
      </c>
      <c r="I29" s="72">
        <f t="shared" si="22"/>
        <v>106.66666666666667</v>
      </c>
      <c r="J29" s="101">
        <f t="shared" si="23"/>
        <v>17.06666666666667</v>
      </c>
      <c r="K29" s="340">
        <f t="shared" si="24"/>
        <v>0.33074935400516803</v>
      </c>
      <c r="L29" s="41"/>
      <c r="M29" s="341">
        <f>I29/$I$26</f>
        <v>0.84444444444444455</v>
      </c>
      <c r="N29" s="73"/>
      <c r="O29" s="43"/>
      <c r="P29" s="43"/>
      <c r="Z29" s="40">
        <v>400</v>
      </c>
      <c r="AA29" s="40">
        <f>Z29/400*600</f>
        <v>600</v>
      </c>
    </row>
    <row r="30" spans="1:27" x14ac:dyDescent="0.25">
      <c r="A30" s="128">
        <f t="shared" si="18"/>
        <v>3000</v>
      </c>
      <c r="B30" s="128">
        <f t="shared" si="19"/>
        <v>400</v>
      </c>
      <c r="C30" s="43">
        <v>1822</v>
      </c>
      <c r="D30" s="43">
        <v>120</v>
      </c>
      <c r="E30" s="339">
        <f t="shared" si="20"/>
        <v>54.66</v>
      </c>
      <c r="F30" s="100">
        <f t="shared" si="21"/>
        <v>54.43</v>
      </c>
      <c r="G30" s="24">
        <v>49</v>
      </c>
      <c r="H30" s="24">
        <v>80</v>
      </c>
      <c r="I30" s="72">
        <f t="shared" si="22"/>
        <v>97.959183673469383</v>
      </c>
      <c r="J30" s="101">
        <f t="shared" si="23"/>
        <v>23.510204081632651</v>
      </c>
      <c r="K30" s="340">
        <f t="shared" si="24"/>
        <v>0.43011716212280737</v>
      </c>
      <c r="L30" s="41"/>
      <c r="M30" s="341">
        <f>I30/$I$26</f>
        <v>0.77551020408163263</v>
      </c>
      <c r="N30" s="73"/>
      <c r="O30" s="43"/>
      <c r="P30" s="43"/>
    </row>
    <row r="31" spans="1:27" x14ac:dyDescent="0.25">
      <c r="A31" s="74"/>
      <c r="B31" s="128"/>
      <c r="C31" s="43"/>
      <c r="D31" s="43"/>
      <c r="E31" s="343"/>
      <c r="F31" s="100"/>
      <c r="G31" s="24"/>
      <c r="H31" s="24"/>
      <c r="I31" s="72"/>
      <c r="J31" s="101"/>
      <c r="K31" s="41"/>
      <c r="L31" s="41"/>
      <c r="M31" s="341"/>
      <c r="N31" s="73"/>
      <c r="O31" s="43"/>
      <c r="P31" s="43"/>
    </row>
    <row r="32" spans="1:27" x14ac:dyDescent="0.25">
      <c r="A32" s="128">
        <f t="shared" ref="A32:A37" si="25">Q3</f>
        <v>0</v>
      </c>
      <c r="B32" s="128">
        <f t="shared" ref="B32:B37" si="26">P$6</f>
        <v>600</v>
      </c>
      <c r="C32" s="43">
        <v>900</v>
      </c>
      <c r="D32" s="43">
        <v>120</v>
      </c>
      <c r="E32" s="339">
        <f t="shared" ref="E32:E37" si="27">C32/1000*3600/D32</f>
        <v>27</v>
      </c>
      <c r="F32" s="100">
        <f t="shared" ref="F32:F37" si="28">E32-$J$7</f>
        <v>26.77</v>
      </c>
      <c r="G32" s="24">
        <v>24.5</v>
      </c>
      <c r="H32" s="24">
        <v>80</v>
      </c>
      <c r="I32" s="72">
        <f t="shared" ref="I32:I37" si="29">60*H32/G32</f>
        <v>195.91836734693877</v>
      </c>
      <c r="J32" s="101">
        <f t="shared" ref="J32:J37" si="30">I32/100*A32/100*0.8</f>
        <v>0</v>
      </c>
      <c r="K32" s="340">
        <f t="shared" ref="K32:K37" si="31">J32/E32</f>
        <v>0</v>
      </c>
      <c r="L32" s="41"/>
      <c r="M32" s="341"/>
      <c r="N32" s="73"/>
      <c r="O32" s="43"/>
      <c r="P32" s="43"/>
      <c r="Q32" s="69"/>
      <c r="R32" s="70"/>
      <c r="S32" s="70"/>
    </row>
    <row r="33" spans="1:27" x14ac:dyDescent="0.25">
      <c r="A33" s="128">
        <f t="shared" si="25"/>
        <v>100</v>
      </c>
      <c r="B33" s="128">
        <f t="shared" si="26"/>
        <v>600</v>
      </c>
      <c r="C33" s="43">
        <v>1025</v>
      </c>
      <c r="D33" s="43">
        <v>120</v>
      </c>
      <c r="E33" s="339">
        <f t="shared" si="27"/>
        <v>30.749999999999996</v>
      </c>
      <c r="F33" s="100">
        <f t="shared" si="28"/>
        <v>30.519999999999996</v>
      </c>
      <c r="G33" s="24">
        <v>25</v>
      </c>
      <c r="H33" s="24">
        <v>80</v>
      </c>
      <c r="I33" s="72">
        <f t="shared" si="29"/>
        <v>192</v>
      </c>
      <c r="J33" s="101">
        <f t="shared" si="30"/>
        <v>1.536</v>
      </c>
      <c r="K33" s="340">
        <f t="shared" si="31"/>
        <v>4.9951219512195132E-2</v>
      </c>
      <c r="L33" s="41"/>
      <c r="M33" s="341">
        <f>I33/$I$33</f>
        <v>1</v>
      </c>
      <c r="N33" s="73"/>
      <c r="O33" s="43"/>
      <c r="P33" s="43"/>
      <c r="Z33" s="40">
        <v>100</v>
      </c>
      <c r="AA33" s="40">
        <f>Z33/400*600</f>
        <v>150</v>
      </c>
    </row>
    <row r="34" spans="1:27" x14ac:dyDescent="0.25">
      <c r="A34" s="128">
        <f t="shared" si="25"/>
        <v>500</v>
      </c>
      <c r="B34" s="128">
        <f t="shared" si="26"/>
        <v>600</v>
      </c>
      <c r="C34" s="43">
        <v>1234</v>
      </c>
      <c r="D34" s="43">
        <v>120</v>
      </c>
      <c r="E34" s="339">
        <f t="shared" si="27"/>
        <v>37.019999999999996</v>
      </c>
      <c r="F34" s="100">
        <f t="shared" si="28"/>
        <v>36.79</v>
      </c>
      <c r="G34" s="24">
        <v>26</v>
      </c>
      <c r="H34" s="24">
        <v>80</v>
      </c>
      <c r="I34" s="72">
        <f t="shared" si="29"/>
        <v>184.61538461538461</v>
      </c>
      <c r="J34" s="101">
        <f t="shared" si="30"/>
        <v>7.3846153846153841</v>
      </c>
      <c r="K34" s="340">
        <f t="shared" si="31"/>
        <v>0.19947637451689315</v>
      </c>
      <c r="L34" s="41"/>
      <c r="M34" s="341">
        <f>I34/$I$33</f>
        <v>0.96153846153846156</v>
      </c>
      <c r="N34" s="73"/>
      <c r="O34" s="43"/>
      <c r="P34" s="43"/>
      <c r="Z34" s="40">
        <v>200</v>
      </c>
      <c r="AA34" s="40">
        <f>Z34/400*600</f>
        <v>300</v>
      </c>
    </row>
    <row r="35" spans="1:27" x14ac:dyDescent="0.25">
      <c r="A35" s="128">
        <f t="shared" si="25"/>
        <v>1000</v>
      </c>
      <c r="B35" s="128">
        <f t="shared" si="26"/>
        <v>600</v>
      </c>
      <c r="C35" s="43">
        <v>1560</v>
      </c>
      <c r="D35" s="43">
        <v>120</v>
      </c>
      <c r="E35" s="339">
        <f t="shared" si="27"/>
        <v>46.8</v>
      </c>
      <c r="F35" s="100">
        <f t="shared" si="28"/>
        <v>46.57</v>
      </c>
      <c r="G35" s="24">
        <v>27</v>
      </c>
      <c r="H35" s="24">
        <v>80</v>
      </c>
      <c r="I35" s="72">
        <f t="shared" si="29"/>
        <v>177.77777777777777</v>
      </c>
      <c r="J35" s="101">
        <f t="shared" si="30"/>
        <v>14.222222222222221</v>
      </c>
      <c r="K35" s="340">
        <f t="shared" si="31"/>
        <v>0.30389363722697055</v>
      </c>
      <c r="L35" s="41"/>
      <c r="M35" s="341">
        <f>I35/$I$33</f>
        <v>0.92592592592592593</v>
      </c>
      <c r="N35" s="73"/>
      <c r="O35" s="43"/>
      <c r="P35" s="43"/>
      <c r="Z35" s="40">
        <v>300</v>
      </c>
      <c r="AA35" s="40">
        <f>Z35/400*600</f>
        <v>450</v>
      </c>
    </row>
    <row r="36" spans="1:27" x14ac:dyDescent="0.25">
      <c r="A36" s="128">
        <f t="shared" si="25"/>
        <v>2000</v>
      </c>
      <c r="B36" s="128">
        <f t="shared" si="26"/>
        <v>600</v>
      </c>
      <c r="C36" s="43">
        <v>2170</v>
      </c>
      <c r="D36" s="43">
        <v>120</v>
      </c>
      <c r="E36" s="339">
        <f t="shared" si="27"/>
        <v>65.099999999999994</v>
      </c>
      <c r="F36" s="100">
        <f t="shared" si="28"/>
        <v>64.86999999999999</v>
      </c>
      <c r="G36" s="24">
        <v>30</v>
      </c>
      <c r="H36" s="24">
        <v>80</v>
      </c>
      <c r="I36" s="72">
        <f t="shared" si="29"/>
        <v>160</v>
      </c>
      <c r="J36" s="101">
        <f t="shared" si="30"/>
        <v>25.6</v>
      </c>
      <c r="K36" s="340">
        <f t="shared" si="31"/>
        <v>0.39324116743471588</v>
      </c>
      <c r="L36" s="41"/>
      <c r="M36" s="341">
        <f>I36/$I$33</f>
        <v>0.83333333333333337</v>
      </c>
      <c r="N36" s="73"/>
      <c r="O36" s="43"/>
      <c r="P36" s="43"/>
      <c r="Z36" s="40">
        <v>400</v>
      </c>
      <c r="AA36" s="40">
        <f>Z36/400*600</f>
        <v>600</v>
      </c>
    </row>
    <row r="37" spans="1:27" x14ac:dyDescent="0.25">
      <c r="A37" s="128">
        <f t="shared" si="25"/>
        <v>3000</v>
      </c>
      <c r="B37" s="128">
        <f t="shared" si="26"/>
        <v>600</v>
      </c>
      <c r="C37" s="43">
        <v>2461</v>
      </c>
      <c r="D37" s="43">
        <v>120</v>
      </c>
      <c r="E37" s="339">
        <f t="shared" si="27"/>
        <v>73.83</v>
      </c>
      <c r="F37" s="100">
        <f t="shared" si="28"/>
        <v>73.599999999999994</v>
      </c>
      <c r="G37" s="24">
        <v>33</v>
      </c>
      <c r="H37" s="24">
        <v>80</v>
      </c>
      <c r="I37" s="72">
        <f t="shared" si="29"/>
        <v>145.45454545454547</v>
      </c>
      <c r="J37" s="101">
        <f t="shared" si="30"/>
        <v>34.909090909090914</v>
      </c>
      <c r="K37" s="340">
        <f t="shared" si="31"/>
        <v>0.47283070444386988</v>
      </c>
      <c r="L37" s="41"/>
      <c r="M37" s="341">
        <f>I37/$I$33</f>
        <v>0.75757575757575768</v>
      </c>
      <c r="N37" s="73"/>
      <c r="O37" s="43"/>
      <c r="P37" s="43"/>
    </row>
    <row r="38" spans="1:27" x14ac:dyDescent="0.25">
      <c r="A38" s="128"/>
      <c r="B38" s="128"/>
      <c r="C38" s="43"/>
      <c r="D38" s="43"/>
      <c r="E38" s="343"/>
      <c r="F38" s="100"/>
      <c r="G38" s="24"/>
      <c r="H38" s="24"/>
      <c r="I38" s="72"/>
      <c r="J38" s="101"/>
      <c r="K38" s="41"/>
      <c r="L38" s="41"/>
      <c r="M38" s="341"/>
      <c r="N38" s="73"/>
      <c r="O38" s="43"/>
      <c r="P38" s="43"/>
    </row>
    <row r="39" spans="1:27" x14ac:dyDescent="0.25">
      <c r="A39" s="128">
        <f t="shared" ref="A39:A44" si="32">Q3</f>
        <v>0</v>
      </c>
      <c r="B39" s="128">
        <f t="shared" ref="B39:B44" si="33">P$7</f>
        <v>800</v>
      </c>
      <c r="C39" s="43">
        <v>580</v>
      </c>
      <c r="D39" s="43">
        <v>60</v>
      </c>
      <c r="E39" s="339">
        <f t="shared" ref="E39:E44" si="34">C39/1000*3600/D39</f>
        <v>34.799999999999997</v>
      </c>
      <c r="F39" s="100">
        <f t="shared" ref="F39:F44" si="35">E39-$J$7</f>
        <v>34.57</v>
      </c>
      <c r="G39" s="24">
        <v>17.75</v>
      </c>
      <c r="H39" s="24">
        <v>80</v>
      </c>
      <c r="I39" s="72">
        <f t="shared" ref="I39:I44" si="36">60*H39/G39</f>
        <v>270.42253521126759</v>
      </c>
      <c r="J39" s="101">
        <f t="shared" ref="J39:J44" si="37">I39/100*A39/100*0.8</f>
        <v>0</v>
      </c>
      <c r="K39" s="340">
        <f t="shared" ref="K39:K44" si="38">J39/E39</f>
        <v>0</v>
      </c>
      <c r="L39" s="41"/>
      <c r="M39" s="341"/>
      <c r="N39" s="73"/>
      <c r="O39" s="43"/>
      <c r="P39" s="43"/>
      <c r="Q39" s="69"/>
      <c r="R39" s="70"/>
      <c r="S39" s="70"/>
    </row>
    <row r="40" spans="1:27" x14ac:dyDescent="0.25">
      <c r="A40" s="128">
        <f t="shared" si="32"/>
        <v>100</v>
      </c>
      <c r="B40" s="128">
        <f t="shared" si="33"/>
        <v>800</v>
      </c>
      <c r="C40" s="43">
        <v>628</v>
      </c>
      <c r="D40" s="43">
        <v>60</v>
      </c>
      <c r="E40" s="339">
        <f t="shared" si="34"/>
        <v>37.68</v>
      </c>
      <c r="F40" s="100">
        <f t="shared" si="35"/>
        <v>37.450000000000003</v>
      </c>
      <c r="G40" s="24">
        <v>18</v>
      </c>
      <c r="H40" s="24">
        <v>80</v>
      </c>
      <c r="I40" s="72">
        <f t="shared" si="36"/>
        <v>266.66666666666669</v>
      </c>
      <c r="J40" s="101">
        <f t="shared" si="37"/>
        <v>2.1333333333333337</v>
      </c>
      <c r="K40" s="340">
        <f t="shared" si="38"/>
        <v>5.6617126680820959E-2</v>
      </c>
      <c r="L40" s="41"/>
      <c r="M40" s="341">
        <f>I40/$I$40</f>
        <v>1</v>
      </c>
      <c r="N40" s="73"/>
      <c r="O40" s="43"/>
      <c r="P40" s="43"/>
      <c r="Z40" s="40">
        <v>100</v>
      </c>
      <c r="AA40" s="40">
        <f>Z40/400*600</f>
        <v>150</v>
      </c>
    </row>
    <row r="41" spans="1:27" x14ac:dyDescent="0.25">
      <c r="A41" s="128">
        <f t="shared" si="32"/>
        <v>500</v>
      </c>
      <c r="B41" s="128">
        <f t="shared" si="33"/>
        <v>800</v>
      </c>
      <c r="C41" s="43">
        <v>763</v>
      </c>
      <c r="D41" s="43">
        <v>60</v>
      </c>
      <c r="E41" s="339">
        <f t="shared" si="34"/>
        <v>45.78</v>
      </c>
      <c r="F41" s="100">
        <f t="shared" si="35"/>
        <v>45.550000000000004</v>
      </c>
      <c r="G41" s="24">
        <v>19</v>
      </c>
      <c r="H41" s="24">
        <v>80</v>
      </c>
      <c r="I41" s="72">
        <f t="shared" si="36"/>
        <v>252.63157894736841</v>
      </c>
      <c r="J41" s="101">
        <f t="shared" si="37"/>
        <v>10.105263157894738</v>
      </c>
      <c r="K41" s="340">
        <f t="shared" si="38"/>
        <v>0.22073532454990691</v>
      </c>
      <c r="L41" s="41"/>
      <c r="M41" s="341">
        <f>I41/$I$40</f>
        <v>0.94736842105263153</v>
      </c>
      <c r="N41" s="73"/>
      <c r="O41" s="43"/>
      <c r="P41" s="43"/>
      <c r="Z41" s="40">
        <v>200</v>
      </c>
      <c r="AA41" s="40">
        <f>Z41/400*600</f>
        <v>300</v>
      </c>
    </row>
    <row r="42" spans="1:27" x14ac:dyDescent="0.25">
      <c r="A42" s="128">
        <f t="shared" si="32"/>
        <v>1000</v>
      </c>
      <c r="B42" s="128">
        <f t="shared" si="33"/>
        <v>800</v>
      </c>
      <c r="C42" s="43">
        <v>956</v>
      </c>
      <c r="D42" s="43">
        <v>60</v>
      </c>
      <c r="E42" s="339">
        <f t="shared" si="34"/>
        <v>57.36</v>
      </c>
      <c r="F42" s="100">
        <f t="shared" si="35"/>
        <v>57.13</v>
      </c>
      <c r="G42" s="24">
        <v>20</v>
      </c>
      <c r="H42" s="24">
        <v>80</v>
      </c>
      <c r="I42" s="72">
        <f t="shared" si="36"/>
        <v>240</v>
      </c>
      <c r="J42" s="101">
        <f t="shared" si="37"/>
        <v>19.200000000000003</v>
      </c>
      <c r="K42" s="340">
        <f t="shared" si="38"/>
        <v>0.33472803347280339</v>
      </c>
      <c r="L42" s="41"/>
      <c r="M42" s="341">
        <f>I42/$I$40</f>
        <v>0.89999999999999991</v>
      </c>
      <c r="N42" s="73"/>
      <c r="O42" s="43"/>
      <c r="P42" s="43"/>
      <c r="Z42" s="40">
        <v>300</v>
      </c>
      <c r="AA42" s="40">
        <f>Z42/400*600</f>
        <v>450</v>
      </c>
    </row>
    <row r="43" spans="1:27" x14ac:dyDescent="0.25">
      <c r="A43" s="128">
        <f t="shared" si="32"/>
        <v>2000</v>
      </c>
      <c r="B43" s="128">
        <f t="shared" si="33"/>
        <v>800</v>
      </c>
      <c r="C43" s="43">
        <v>1298</v>
      </c>
      <c r="D43" s="43">
        <v>60</v>
      </c>
      <c r="E43" s="339">
        <f t="shared" si="34"/>
        <v>77.88000000000001</v>
      </c>
      <c r="F43" s="100">
        <f t="shared" si="35"/>
        <v>77.650000000000006</v>
      </c>
      <c r="G43" s="24">
        <v>23</v>
      </c>
      <c r="H43" s="24">
        <v>80</v>
      </c>
      <c r="I43" s="72">
        <f t="shared" si="36"/>
        <v>208.69565217391303</v>
      </c>
      <c r="J43" s="101">
        <f t="shared" si="37"/>
        <v>33.391304347826086</v>
      </c>
      <c r="K43" s="340">
        <f t="shared" si="38"/>
        <v>0.42875326589401747</v>
      </c>
      <c r="L43" s="41"/>
      <c r="M43" s="341">
        <f>I43/$I$40</f>
        <v>0.78260869565217384</v>
      </c>
      <c r="N43" s="73"/>
      <c r="O43" s="43"/>
      <c r="P43" s="43"/>
      <c r="Z43" s="40">
        <v>400</v>
      </c>
      <c r="AA43" s="40">
        <f>Z43/400*600</f>
        <v>600</v>
      </c>
    </row>
    <row r="44" spans="1:27" x14ac:dyDescent="0.25">
      <c r="A44" s="128">
        <f t="shared" si="32"/>
        <v>3000</v>
      </c>
      <c r="B44" s="128">
        <f t="shared" si="33"/>
        <v>800</v>
      </c>
      <c r="C44" s="43">
        <v>1473</v>
      </c>
      <c r="D44" s="43">
        <v>60</v>
      </c>
      <c r="E44" s="339">
        <f t="shared" si="34"/>
        <v>88.38000000000001</v>
      </c>
      <c r="F44" s="100">
        <f t="shared" si="35"/>
        <v>88.15</v>
      </c>
      <c r="G44" s="24">
        <v>25</v>
      </c>
      <c r="H44" s="24">
        <v>80</v>
      </c>
      <c r="I44" s="72">
        <f t="shared" si="36"/>
        <v>192</v>
      </c>
      <c r="J44" s="101">
        <f t="shared" si="37"/>
        <v>46.080000000000005</v>
      </c>
      <c r="K44" s="340">
        <f t="shared" si="38"/>
        <v>0.52138492871690423</v>
      </c>
      <c r="L44" s="41"/>
      <c r="M44" s="341">
        <f>I44/$I$40</f>
        <v>0.72</v>
      </c>
      <c r="N44" s="73"/>
      <c r="O44" s="43"/>
      <c r="P44" s="43"/>
    </row>
    <row r="45" spans="1:27" x14ac:dyDescent="0.25">
      <c r="A45" s="74"/>
      <c r="B45" s="128"/>
      <c r="C45" s="43"/>
      <c r="D45" s="43"/>
      <c r="E45" s="343"/>
      <c r="F45" s="100"/>
      <c r="G45" s="24"/>
      <c r="H45" s="24"/>
      <c r="I45" s="72"/>
      <c r="J45" s="101"/>
      <c r="K45" s="41"/>
      <c r="L45" s="41"/>
      <c r="M45" s="341"/>
      <c r="N45" s="73"/>
      <c r="O45" s="43"/>
      <c r="P45" s="43"/>
    </row>
    <row r="46" spans="1:27" x14ac:dyDescent="0.25">
      <c r="A46" s="128">
        <f t="shared" ref="A46:A51" si="39">Q3</f>
        <v>0</v>
      </c>
      <c r="B46" s="128">
        <f t="shared" ref="B46:B51" si="40">P$8</f>
        <v>1000</v>
      </c>
      <c r="C46" s="43">
        <v>692</v>
      </c>
      <c r="D46" s="43">
        <v>60</v>
      </c>
      <c r="E46" s="339">
        <f t="shared" ref="E46:E51" si="41">C46/1000*3600/D46</f>
        <v>41.519999999999996</v>
      </c>
      <c r="F46" s="100">
        <f t="shared" ref="F46:F51" si="42">E46-$J$7</f>
        <v>41.29</v>
      </c>
      <c r="G46" s="24">
        <v>14.5</v>
      </c>
      <c r="H46" s="24">
        <v>80</v>
      </c>
      <c r="I46" s="72">
        <f t="shared" ref="I46:I51" si="43">60*H46/G46</f>
        <v>331.0344827586207</v>
      </c>
      <c r="J46" s="101">
        <f t="shared" ref="J46:J51" si="44">I46/100*A46/100*0.8</f>
        <v>0</v>
      </c>
      <c r="K46" s="340">
        <f t="shared" ref="K46:K51" si="45">J46/E46</f>
        <v>0</v>
      </c>
      <c r="L46" s="41"/>
      <c r="M46" s="341"/>
      <c r="N46" s="73"/>
      <c r="O46" s="43"/>
      <c r="P46" s="43"/>
      <c r="Q46" s="69"/>
      <c r="R46" s="70"/>
      <c r="S46" s="70"/>
    </row>
    <row r="47" spans="1:27" x14ac:dyDescent="0.25">
      <c r="A47" s="128">
        <f t="shared" si="39"/>
        <v>100</v>
      </c>
      <c r="B47" s="128">
        <f t="shared" si="40"/>
        <v>1000</v>
      </c>
      <c r="C47" s="43">
        <v>800</v>
      </c>
      <c r="D47" s="43">
        <v>60</v>
      </c>
      <c r="E47" s="339">
        <f t="shared" si="41"/>
        <v>48</v>
      </c>
      <c r="F47" s="100">
        <f t="shared" si="42"/>
        <v>47.77</v>
      </c>
      <c r="G47" s="24">
        <v>15</v>
      </c>
      <c r="H47" s="24">
        <v>80</v>
      </c>
      <c r="I47" s="72">
        <f t="shared" si="43"/>
        <v>320</v>
      </c>
      <c r="J47" s="101">
        <f t="shared" si="44"/>
        <v>2.5600000000000005</v>
      </c>
      <c r="K47" s="340">
        <f t="shared" si="45"/>
        <v>5.3333333333333344E-2</v>
      </c>
      <c r="L47" s="41"/>
      <c r="M47" s="341">
        <f>I47/$I$47</f>
        <v>1</v>
      </c>
      <c r="N47" s="73"/>
      <c r="O47" s="43"/>
      <c r="P47" s="43"/>
      <c r="Z47" s="40">
        <v>100</v>
      </c>
      <c r="AA47" s="40">
        <f>Z47/400*600</f>
        <v>150</v>
      </c>
    </row>
    <row r="48" spans="1:27" x14ac:dyDescent="0.25">
      <c r="A48" s="128">
        <f t="shared" si="39"/>
        <v>500</v>
      </c>
      <c r="B48" s="128">
        <f t="shared" si="40"/>
        <v>1000</v>
      </c>
      <c r="C48" s="43">
        <v>941</v>
      </c>
      <c r="D48" s="43">
        <v>60</v>
      </c>
      <c r="E48" s="339">
        <f t="shared" si="41"/>
        <v>56.46</v>
      </c>
      <c r="F48" s="100">
        <f t="shared" si="42"/>
        <v>56.230000000000004</v>
      </c>
      <c r="G48" s="24">
        <v>16</v>
      </c>
      <c r="H48" s="24">
        <v>80</v>
      </c>
      <c r="I48" s="72">
        <f t="shared" si="43"/>
        <v>300</v>
      </c>
      <c r="J48" s="101">
        <f t="shared" si="44"/>
        <v>12</v>
      </c>
      <c r="K48" s="340">
        <f t="shared" si="45"/>
        <v>0.21253985122210414</v>
      </c>
      <c r="L48" s="41"/>
      <c r="M48" s="341">
        <f>I48/$I$47</f>
        <v>0.9375</v>
      </c>
      <c r="N48" s="73"/>
      <c r="O48" s="43"/>
      <c r="P48" s="43"/>
      <c r="Z48" s="40">
        <v>200</v>
      </c>
      <c r="AA48" s="40">
        <f>Z48/400*600</f>
        <v>300</v>
      </c>
    </row>
    <row r="49" spans="1:27" x14ac:dyDescent="0.25">
      <c r="A49" s="128">
        <f t="shared" si="39"/>
        <v>1000</v>
      </c>
      <c r="B49" s="128">
        <f t="shared" si="40"/>
        <v>1000</v>
      </c>
      <c r="C49" s="43">
        <v>1125</v>
      </c>
      <c r="D49" s="43">
        <v>60</v>
      </c>
      <c r="E49" s="339">
        <f t="shared" si="41"/>
        <v>67.5</v>
      </c>
      <c r="F49" s="100">
        <f t="shared" si="42"/>
        <v>67.27</v>
      </c>
      <c r="G49" s="24">
        <v>17</v>
      </c>
      <c r="H49" s="24">
        <v>80</v>
      </c>
      <c r="I49" s="72">
        <f t="shared" si="43"/>
        <v>282.35294117647061</v>
      </c>
      <c r="J49" s="101">
        <f t="shared" si="44"/>
        <v>22.588235294117649</v>
      </c>
      <c r="K49" s="340">
        <f t="shared" si="45"/>
        <v>0.33464052287581703</v>
      </c>
      <c r="L49" s="41"/>
      <c r="M49" s="341">
        <f>I49/$I$47</f>
        <v>0.88235294117647067</v>
      </c>
      <c r="N49" s="73"/>
      <c r="O49" s="43"/>
      <c r="P49" s="43"/>
      <c r="Z49" s="40">
        <v>300</v>
      </c>
      <c r="AA49" s="40">
        <f>Z49/400*600</f>
        <v>450</v>
      </c>
    </row>
    <row r="50" spans="1:27" x14ac:dyDescent="0.25">
      <c r="A50" s="128">
        <f t="shared" si="39"/>
        <v>2000</v>
      </c>
      <c r="B50" s="128">
        <f t="shared" si="40"/>
        <v>1000</v>
      </c>
      <c r="C50" s="43">
        <v>1503</v>
      </c>
      <c r="D50" s="43">
        <v>60</v>
      </c>
      <c r="E50" s="339">
        <f t="shared" si="41"/>
        <v>90.179999999999993</v>
      </c>
      <c r="F50" s="100">
        <f t="shared" si="42"/>
        <v>89.949999999999989</v>
      </c>
      <c r="G50" s="194">
        <v>18.399999999999999</v>
      </c>
      <c r="H50" s="24">
        <v>80</v>
      </c>
      <c r="I50" s="72">
        <f t="shared" si="43"/>
        <v>260.86956521739131</v>
      </c>
      <c r="J50" s="101">
        <f t="shared" si="44"/>
        <v>41.739130434782609</v>
      </c>
      <c r="K50" s="340">
        <f t="shared" si="45"/>
        <v>0.46284243107986928</v>
      </c>
      <c r="L50" s="41"/>
      <c r="M50" s="341">
        <f>I50/$I$47</f>
        <v>0.81521739130434789</v>
      </c>
      <c r="N50" s="73"/>
      <c r="O50" s="43"/>
      <c r="P50" s="43"/>
      <c r="Z50" s="40">
        <v>400</v>
      </c>
      <c r="AA50" s="40">
        <f>Z50/400*600</f>
        <v>600</v>
      </c>
    </row>
    <row r="51" spans="1:27" x14ac:dyDescent="0.25">
      <c r="A51" s="128">
        <f t="shared" si="39"/>
        <v>3000</v>
      </c>
      <c r="B51" s="128">
        <f t="shared" si="40"/>
        <v>1000</v>
      </c>
      <c r="C51" s="43">
        <v>1802</v>
      </c>
      <c r="D51" s="43">
        <v>60</v>
      </c>
      <c r="E51" s="339">
        <f t="shared" si="41"/>
        <v>108.11999999999999</v>
      </c>
      <c r="F51" s="100">
        <f t="shared" si="42"/>
        <v>107.88999999999999</v>
      </c>
      <c r="G51" s="194">
        <v>21</v>
      </c>
      <c r="H51" s="24">
        <v>80</v>
      </c>
      <c r="I51" s="72">
        <f t="shared" si="43"/>
        <v>228.57142857142858</v>
      </c>
      <c r="J51" s="101">
        <f t="shared" si="44"/>
        <v>54.857142857142868</v>
      </c>
      <c r="K51" s="340">
        <f t="shared" si="45"/>
        <v>0.50737276042492485</v>
      </c>
      <c r="L51" s="41"/>
      <c r="M51" s="341">
        <f>I51/$I$47</f>
        <v>0.7142857142857143</v>
      </c>
      <c r="N51" s="73"/>
      <c r="O51" s="43"/>
      <c r="P51" s="43"/>
    </row>
    <row r="52" spans="1:27" x14ac:dyDescent="0.25">
      <c r="A52" s="43"/>
      <c r="B52" s="128"/>
      <c r="C52" s="41"/>
      <c r="D52" s="41"/>
      <c r="E52" s="41"/>
      <c r="F52" s="75"/>
      <c r="G52" s="41"/>
      <c r="H52" s="43"/>
      <c r="I52" s="76"/>
      <c r="J52" s="71"/>
      <c r="K52" s="41"/>
      <c r="L52" s="41"/>
      <c r="M52" s="341"/>
      <c r="N52" s="73"/>
      <c r="O52" s="43"/>
      <c r="P52" s="43"/>
    </row>
    <row r="53" spans="1:27" x14ac:dyDescent="0.25">
      <c r="A53" s="43"/>
      <c r="B53" s="74"/>
      <c r="C53" s="41"/>
      <c r="D53" s="41"/>
      <c r="E53" s="41"/>
      <c r="F53" s="41"/>
      <c r="G53" s="41"/>
      <c r="H53" s="43"/>
      <c r="I53" s="76"/>
      <c r="J53" s="71"/>
      <c r="K53" s="41"/>
      <c r="L53" s="41"/>
      <c r="M53" s="341"/>
      <c r="N53" s="73"/>
      <c r="O53" s="43"/>
      <c r="P53" s="43"/>
    </row>
    <row r="54" spans="1:27" x14ac:dyDescent="0.25">
      <c r="A54" s="43"/>
      <c r="B54" s="128"/>
      <c r="C54" s="41"/>
      <c r="D54" s="41"/>
      <c r="E54" s="41"/>
      <c r="F54" s="41"/>
      <c r="G54" s="41"/>
      <c r="H54" s="43"/>
      <c r="I54" s="76"/>
      <c r="J54" s="71"/>
      <c r="K54" s="41"/>
      <c r="L54" s="41"/>
      <c r="M54" s="341"/>
      <c r="N54" s="73"/>
      <c r="O54" s="43"/>
      <c r="P54" s="43"/>
    </row>
    <row r="55" spans="1:27" x14ac:dyDescent="0.25">
      <c r="A55" s="47"/>
      <c r="B55" s="128"/>
      <c r="C55" s="41"/>
      <c r="D55" s="41"/>
      <c r="E55" s="41"/>
      <c r="F55" s="41"/>
      <c r="G55" s="41"/>
      <c r="H55" s="43"/>
      <c r="I55" s="76"/>
      <c r="J55" s="71"/>
      <c r="K55" s="41"/>
      <c r="L55" s="41"/>
      <c r="M55" s="341"/>
      <c r="N55" s="73"/>
      <c r="O55" s="43"/>
      <c r="P55" s="43"/>
    </row>
    <row r="56" spans="1:27" x14ac:dyDescent="0.25">
      <c r="A56" s="71"/>
      <c r="B56" s="74"/>
      <c r="C56" s="41"/>
      <c r="D56" s="41"/>
      <c r="E56" s="41"/>
      <c r="F56" s="41"/>
      <c r="G56" s="41"/>
      <c r="H56" s="43"/>
      <c r="I56" s="76"/>
      <c r="J56" s="71"/>
      <c r="K56" s="41"/>
      <c r="L56" s="41"/>
      <c r="M56" s="341"/>
      <c r="N56" s="73"/>
      <c r="O56" s="43"/>
      <c r="P56" s="43"/>
    </row>
    <row r="57" spans="1:27" x14ac:dyDescent="0.25">
      <c r="A57" s="47"/>
      <c r="B57" s="128"/>
      <c r="C57" s="41"/>
      <c r="D57" s="41"/>
      <c r="E57" s="41"/>
      <c r="F57" s="41"/>
      <c r="G57" s="41"/>
      <c r="H57" s="43"/>
      <c r="I57" s="43"/>
      <c r="J57" s="47"/>
      <c r="K57" s="41"/>
      <c r="L57" s="41"/>
      <c r="M57" s="341"/>
      <c r="N57" s="73"/>
      <c r="O57" s="43"/>
      <c r="P57" s="43"/>
    </row>
    <row r="58" spans="1:27" x14ac:dyDescent="0.25">
      <c r="A58" s="47"/>
      <c r="B58" s="128"/>
      <c r="C58" s="41"/>
      <c r="D58" s="41"/>
      <c r="E58" s="41"/>
      <c r="F58" s="41"/>
      <c r="G58" s="340"/>
      <c r="H58" s="43"/>
      <c r="I58" s="43"/>
      <c r="J58" s="47"/>
      <c r="K58" s="41"/>
      <c r="L58" s="41"/>
      <c r="M58" s="341"/>
      <c r="N58" s="73"/>
      <c r="O58" s="43"/>
      <c r="P58" s="43"/>
    </row>
    <row r="59" spans="1:27" x14ac:dyDescent="0.25">
      <c r="A59" s="47"/>
      <c r="B59" s="128"/>
      <c r="C59" s="41"/>
      <c r="D59" s="41"/>
      <c r="E59" s="41"/>
      <c r="F59" s="41"/>
      <c r="G59" s="41"/>
      <c r="H59" s="43"/>
      <c r="I59" s="43"/>
      <c r="J59" s="47"/>
      <c r="K59" s="41"/>
      <c r="L59" s="41"/>
      <c r="M59" s="341"/>
      <c r="N59" s="73"/>
      <c r="O59" s="43"/>
      <c r="P59" s="43"/>
    </row>
    <row r="60" spans="1:27" x14ac:dyDescent="0.25">
      <c r="A60" s="47"/>
      <c r="B60" s="128"/>
      <c r="C60" s="41"/>
      <c r="D60" s="41"/>
      <c r="E60" s="41"/>
      <c r="F60" s="41"/>
      <c r="G60" s="41"/>
      <c r="H60" s="43"/>
      <c r="I60" s="43"/>
      <c r="J60" s="47"/>
      <c r="K60" s="41"/>
      <c r="L60" s="41"/>
      <c r="M60" s="341"/>
      <c r="N60" s="73"/>
      <c r="O60" s="43"/>
      <c r="P60" s="43"/>
    </row>
    <row r="61" spans="1:27" x14ac:dyDescent="0.25">
      <c r="A61" s="47"/>
      <c r="B61" s="128"/>
      <c r="C61" s="41"/>
      <c r="D61" s="41"/>
      <c r="E61" s="41"/>
      <c r="F61" s="41"/>
      <c r="G61" s="41"/>
      <c r="H61" s="43"/>
      <c r="I61" s="43"/>
      <c r="J61" s="47"/>
      <c r="K61" s="41"/>
      <c r="L61" s="41"/>
      <c r="M61" s="341"/>
      <c r="N61" s="73"/>
      <c r="O61" s="43"/>
      <c r="P61" s="43"/>
    </row>
    <row r="63" spans="1:27" x14ac:dyDescent="0.25">
      <c r="L63" s="80" t="s">
        <v>18</v>
      </c>
      <c r="M63" s="332"/>
      <c r="N63" s="335" t="s">
        <v>345</v>
      </c>
    </row>
    <row r="64" spans="1:27" x14ac:dyDescent="0.25">
      <c r="K64" s="79" t="s">
        <v>205</v>
      </c>
      <c r="L64" s="81">
        <f>B11</f>
        <v>100</v>
      </c>
      <c r="M64" s="80">
        <f>B18</f>
        <v>200</v>
      </c>
      <c r="N64" s="80">
        <f>B25</f>
        <v>400</v>
      </c>
      <c r="O64" s="80">
        <f>B32</f>
        <v>600</v>
      </c>
      <c r="P64" s="80">
        <f>B39</f>
        <v>800</v>
      </c>
      <c r="Q64" s="80">
        <f>B46</f>
        <v>1000</v>
      </c>
      <c r="T64" s="335"/>
    </row>
    <row r="65" spans="1:18" x14ac:dyDescent="0.25">
      <c r="K65" s="82">
        <f t="shared" ref="K65:K70" si="46">Q3</f>
        <v>0</v>
      </c>
      <c r="L65" s="344">
        <f t="shared" ref="L65:L70" si="47">P11</f>
        <v>32</v>
      </c>
      <c r="M65" s="93">
        <f t="shared" ref="M65:M70" si="48">P18</f>
        <v>42.666666666666664</v>
      </c>
      <c r="N65" s="93">
        <f t="shared" ref="N65:N70" si="49">I25</f>
        <v>129.72972972972974</v>
      </c>
      <c r="O65" s="93">
        <f t="shared" ref="O65:O70" si="50">I32</f>
        <v>195.91836734693877</v>
      </c>
      <c r="P65" s="93">
        <f t="shared" ref="P65:P70" si="51">I39</f>
        <v>270.42253521126759</v>
      </c>
      <c r="Q65" s="93">
        <f t="shared" ref="Q65:Q70" si="52">I46</f>
        <v>331.0344827586207</v>
      </c>
    </row>
    <row r="66" spans="1:18" x14ac:dyDescent="0.25">
      <c r="K66" s="82">
        <f t="shared" si="46"/>
        <v>100</v>
      </c>
      <c r="L66" s="344">
        <f t="shared" si="47"/>
        <v>31</v>
      </c>
      <c r="M66" s="93">
        <f t="shared" si="48"/>
        <v>41.333333333333329</v>
      </c>
      <c r="N66" s="93">
        <f t="shared" si="49"/>
        <v>126.31578947368421</v>
      </c>
      <c r="O66" s="93">
        <f t="shared" si="50"/>
        <v>192</v>
      </c>
      <c r="P66" s="93">
        <f t="shared" si="51"/>
        <v>266.66666666666669</v>
      </c>
      <c r="Q66" s="93">
        <f t="shared" si="52"/>
        <v>320</v>
      </c>
    </row>
    <row r="67" spans="1:18" x14ac:dyDescent="0.25">
      <c r="K67" s="82">
        <f t="shared" si="46"/>
        <v>500</v>
      </c>
      <c r="L67" s="344">
        <f t="shared" si="47"/>
        <v>29</v>
      </c>
      <c r="M67" s="93">
        <f t="shared" si="48"/>
        <v>40.666666666666664</v>
      </c>
      <c r="N67" s="93">
        <f t="shared" si="49"/>
        <v>120</v>
      </c>
      <c r="O67" s="93">
        <f t="shared" si="50"/>
        <v>184.61538461538461</v>
      </c>
      <c r="P67" s="93">
        <f t="shared" si="51"/>
        <v>252.63157894736841</v>
      </c>
      <c r="Q67" s="93">
        <f t="shared" si="52"/>
        <v>300</v>
      </c>
    </row>
    <row r="68" spans="1:18" x14ac:dyDescent="0.25">
      <c r="K68" s="82">
        <f t="shared" si="46"/>
        <v>1000</v>
      </c>
      <c r="L68" s="344">
        <f t="shared" si="47"/>
        <v>28</v>
      </c>
      <c r="M68" s="93">
        <f t="shared" si="48"/>
        <v>38</v>
      </c>
      <c r="N68" s="93">
        <f t="shared" si="49"/>
        <v>117.07317073170732</v>
      </c>
      <c r="O68" s="93">
        <f t="shared" si="50"/>
        <v>177.77777777777777</v>
      </c>
      <c r="P68" s="93">
        <f t="shared" si="51"/>
        <v>240</v>
      </c>
      <c r="Q68" s="93">
        <f t="shared" si="52"/>
        <v>282.35294117647061</v>
      </c>
    </row>
    <row r="69" spans="1:18" x14ac:dyDescent="0.25">
      <c r="K69" s="82">
        <f t="shared" si="46"/>
        <v>2000</v>
      </c>
      <c r="L69" s="344">
        <f t="shared" si="47"/>
        <v>26</v>
      </c>
      <c r="M69" s="93">
        <f t="shared" si="48"/>
        <v>35.333333333333329</v>
      </c>
      <c r="N69" s="93">
        <f t="shared" si="49"/>
        <v>106.66666666666667</v>
      </c>
      <c r="O69" s="93">
        <f t="shared" si="50"/>
        <v>160</v>
      </c>
      <c r="P69" s="93">
        <f t="shared" si="51"/>
        <v>208.69565217391303</v>
      </c>
      <c r="Q69" s="93">
        <f t="shared" si="52"/>
        <v>260.86956521739131</v>
      </c>
    </row>
    <row r="70" spans="1:18" x14ac:dyDescent="0.25">
      <c r="K70" s="82">
        <f t="shared" si="46"/>
        <v>3000</v>
      </c>
      <c r="L70" s="344">
        <f t="shared" si="47"/>
        <v>24</v>
      </c>
      <c r="M70" s="93">
        <f t="shared" si="48"/>
        <v>32.666666666666664</v>
      </c>
      <c r="N70" s="93">
        <f t="shared" si="49"/>
        <v>97.959183673469383</v>
      </c>
      <c r="O70" s="93">
        <f t="shared" si="50"/>
        <v>145.45454545454547</v>
      </c>
      <c r="P70" s="93">
        <f t="shared" si="51"/>
        <v>192</v>
      </c>
      <c r="Q70" s="93">
        <f t="shared" si="52"/>
        <v>228.57142857142858</v>
      </c>
    </row>
    <row r="71" spans="1:18" x14ac:dyDescent="0.25">
      <c r="K71" s="83"/>
      <c r="M71" s="332"/>
    </row>
    <row r="72" spans="1:18" x14ac:dyDescent="0.25">
      <c r="K72" s="335">
        <f>B80</f>
        <v>40</v>
      </c>
      <c r="L72" s="40">
        <f t="shared" ref="L72:Q72" si="53">_xlfn.FORECAST.LINEAR($B$80,L65:L70,$K$65:$K$70)</f>
        <v>30.968190476190475</v>
      </c>
      <c r="M72" s="40">
        <f t="shared" si="53"/>
        <v>41.866730158730157</v>
      </c>
      <c r="N72" s="40">
        <f t="shared" si="53"/>
        <v>126.98212269628057</v>
      </c>
      <c r="O72" s="40">
        <f t="shared" si="53"/>
        <v>193.48032550971328</v>
      </c>
      <c r="P72" s="40">
        <f t="shared" si="53"/>
        <v>266.73264951314809</v>
      </c>
      <c r="Q72" s="40">
        <f t="shared" si="53"/>
        <v>320.9528119493674</v>
      </c>
      <c r="R72" s="335" t="s">
        <v>28</v>
      </c>
    </row>
    <row r="73" spans="1:18" x14ac:dyDescent="0.25">
      <c r="J73" s="335" t="s">
        <v>28</v>
      </c>
      <c r="K73" s="94">
        <f>B79</f>
        <v>100</v>
      </c>
      <c r="L73" s="95">
        <f>_xlfn.FORECAST.LINEAR(K73,L64:Q64,L72:Q72)</f>
        <v>330.04746310688563</v>
      </c>
      <c r="M73" s="332" t="s">
        <v>18</v>
      </c>
    </row>
    <row r="77" spans="1:18" x14ac:dyDescent="0.25">
      <c r="A77" s="49" t="s">
        <v>346</v>
      </c>
      <c r="B77" s="77">
        <v>1670</v>
      </c>
      <c r="C77" s="40" t="s">
        <v>28</v>
      </c>
      <c r="M77" s="332"/>
    </row>
    <row r="78" spans="1:18" x14ac:dyDescent="0.25">
      <c r="B78" s="77">
        <v>1000</v>
      </c>
      <c r="C78" s="40" t="s">
        <v>18</v>
      </c>
      <c r="M78" s="332"/>
      <c r="N78" s="335" t="s">
        <v>347</v>
      </c>
      <c r="O78" s="335" t="s">
        <v>348</v>
      </c>
      <c r="P78" s="335" t="s">
        <v>347</v>
      </c>
      <c r="Q78" s="335" t="s">
        <v>348</v>
      </c>
    </row>
    <row r="79" spans="1:18" x14ac:dyDescent="0.25">
      <c r="A79" s="40" t="s">
        <v>349</v>
      </c>
      <c r="B79" s="78">
        <f>Q</f>
        <v>100</v>
      </c>
      <c r="C79" s="40" t="s">
        <v>28</v>
      </c>
      <c r="M79" s="332"/>
      <c r="N79" s="40">
        <f t="shared" ref="N79:N84" si="54">C87</f>
        <v>9.9499999999999993</v>
      </c>
      <c r="O79" s="201">
        <f t="shared" ref="O79:O84" si="55">L65</f>
        <v>32</v>
      </c>
      <c r="P79" s="40">
        <f t="shared" ref="P79:P84" si="56">D87</f>
        <v>13.290000000000001</v>
      </c>
      <c r="Q79" s="201">
        <f t="shared" ref="Q79:Q84" si="57">M65</f>
        <v>42.666666666666664</v>
      </c>
    </row>
    <row r="80" spans="1:18" x14ac:dyDescent="0.25">
      <c r="A80" s="40" t="s">
        <v>350</v>
      </c>
      <c r="B80" s="78">
        <f>Pavg</f>
        <v>40</v>
      </c>
      <c r="C80" s="40">
        <v>1000</v>
      </c>
      <c r="D80" s="40" t="s">
        <v>351</v>
      </c>
      <c r="M80" s="332"/>
      <c r="N80" s="40">
        <f t="shared" si="54"/>
        <v>10.72</v>
      </c>
      <c r="O80" s="201">
        <f t="shared" si="55"/>
        <v>31</v>
      </c>
      <c r="P80" s="40">
        <f t="shared" si="56"/>
        <v>15.06</v>
      </c>
      <c r="Q80" s="201">
        <f t="shared" si="57"/>
        <v>41.333333333333329</v>
      </c>
    </row>
    <row r="81" spans="1:17" x14ac:dyDescent="0.25">
      <c r="A81" s="40" t="s">
        <v>352</v>
      </c>
      <c r="B81" s="77">
        <v>0</v>
      </c>
      <c r="C81" s="40" t="s">
        <v>353</v>
      </c>
      <c r="E81" s="40" t="s">
        <v>354</v>
      </c>
      <c r="M81" s="332"/>
      <c r="N81" s="40">
        <f t="shared" si="54"/>
        <v>11.92</v>
      </c>
      <c r="O81" s="201">
        <f t="shared" si="55"/>
        <v>29</v>
      </c>
      <c r="P81" s="40">
        <f t="shared" si="56"/>
        <v>16.959999999999997</v>
      </c>
      <c r="Q81" s="201">
        <f t="shared" si="57"/>
        <v>40.666666666666664</v>
      </c>
    </row>
    <row r="82" spans="1:17" x14ac:dyDescent="0.25">
      <c r="A82" s="40" t="s">
        <v>355</v>
      </c>
      <c r="B82" s="77">
        <f>L73</f>
        <v>330.04746310688563</v>
      </c>
      <c r="M82" s="332"/>
      <c r="N82" s="40">
        <f t="shared" si="54"/>
        <v>13.92</v>
      </c>
      <c r="O82" s="201">
        <f t="shared" si="55"/>
        <v>28</v>
      </c>
      <c r="P82" s="40">
        <f t="shared" si="56"/>
        <v>21.720000000000002</v>
      </c>
      <c r="Q82" s="201">
        <f t="shared" si="57"/>
        <v>38</v>
      </c>
    </row>
    <row r="83" spans="1:17" x14ac:dyDescent="0.25">
      <c r="A83" s="40" t="s">
        <v>356</v>
      </c>
      <c r="B83" s="77">
        <f>(1+(B80/C80*B81))*B82</f>
        <v>330.04746310688563</v>
      </c>
      <c r="M83" s="332"/>
      <c r="N83" s="40">
        <f t="shared" si="54"/>
        <v>18.399999999999999</v>
      </c>
      <c r="O83" s="201">
        <f t="shared" si="55"/>
        <v>26</v>
      </c>
      <c r="P83" s="40">
        <f t="shared" si="56"/>
        <v>31.219999999999995</v>
      </c>
      <c r="Q83" s="201">
        <f t="shared" si="57"/>
        <v>35.333333333333329</v>
      </c>
    </row>
    <row r="84" spans="1:17" x14ac:dyDescent="0.25">
      <c r="A84" s="40" t="s">
        <v>357</v>
      </c>
      <c r="M84" s="332"/>
      <c r="N84" s="40">
        <f t="shared" si="54"/>
        <v>20.499999999999996</v>
      </c>
      <c r="O84" s="201">
        <f t="shared" si="55"/>
        <v>24</v>
      </c>
      <c r="P84" s="40">
        <f t="shared" si="56"/>
        <v>36.080000000000005</v>
      </c>
      <c r="Q84" s="201">
        <f t="shared" si="57"/>
        <v>32.666666666666664</v>
      </c>
    </row>
    <row r="85" spans="1:17" x14ac:dyDescent="0.25">
      <c r="A85" s="79" t="s">
        <v>205</v>
      </c>
      <c r="E85" s="335" t="s">
        <v>358</v>
      </c>
      <c r="H85" s="40" t="s">
        <v>359</v>
      </c>
      <c r="M85" s="332"/>
      <c r="O85" s="201"/>
      <c r="Q85" s="201"/>
    </row>
    <row r="86" spans="1:17" x14ac:dyDescent="0.25">
      <c r="A86" s="80" t="s">
        <v>18</v>
      </c>
      <c r="B86" s="77">
        <v>0.1</v>
      </c>
      <c r="C86" s="81">
        <f>B11</f>
        <v>100</v>
      </c>
      <c r="D86" s="80">
        <f>B18</f>
        <v>200</v>
      </c>
      <c r="E86" s="80">
        <f>B25</f>
        <v>400</v>
      </c>
      <c r="F86" s="80">
        <f>B32</f>
        <v>600</v>
      </c>
      <c r="G86" s="80">
        <f>B39</f>
        <v>800</v>
      </c>
      <c r="H86" s="80">
        <f>B46</f>
        <v>1000</v>
      </c>
      <c r="I86" s="40">
        <f>H86*10</f>
        <v>10000</v>
      </c>
      <c r="M86" s="332"/>
    </row>
    <row r="87" spans="1:17" x14ac:dyDescent="0.25">
      <c r="A87" s="82">
        <f>Q3</f>
        <v>0</v>
      </c>
      <c r="B87" s="77">
        <f t="shared" ref="B87:B92" si="58">$J$7</f>
        <v>0.22999999999999998</v>
      </c>
      <c r="C87" s="41">
        <f>F11</f>
        <v>9.9499999999999993</v>
      </c>
      <c r="D87" s="43">
        <f>F18</f>
        <v>13.290000000000001</v>
      </c>
      <c r="E87" s="43">
        <f t="shared" ref="E87:E92" si="59">F25</f>
        <v>19.810000000000002</v>
      </c>
      <c r="F87" s="43">
        <f t="shared" ref="F87:F92" si="60">F32</f>
        <v>26.77</v>
      </c>
      <c r="G87" s="43">
        <f t="shared" ref="G87:G92" si="61">F39</f>
        <v>34.57</v>
      </c>
      <c r="H87" s="43">
        <f t="shared" ref="H87:H92" si="62">F46</f>
        <v>41.29</v>
      </c>
      <c r="I87" s="40">
        <f t="shared" ref="I87:I92" si="63">H87*10</f>
        <v>412.9</v>
      </c>
      <c r="J87" s="94">
        <f t="shared" ref="J87:J92" ca="1" si="64">_xlfn.FORECAST.LINEAR(__RPM1,OFFSET(B87:H87,0,MATCH(__RPM1,$B$86:$H$86,1)-1,1,2),OFFSET($B$86:$H$86,0,MATCH(__RPM1,$B$86:$H$86,1)-1,1,2))</f>
        <v>17.529547297284473</v>
      </c>
      <c r="M87" s="332"/>
    </row>
    <row r="88" spans="1:17" x14ac:dyDescent="0.25">
      <c r="A88" s="82">
        <f>Q4</f>
        <v>100</v>
      </c>
      <c r="B88" s="77">
        <f t="shared" si="58"/>
        <v>0.22999999999999998</v>
      </c>
      <c r="C88" s="41">
        <f>E12</f>
        <v>10.72</v>
      </c>
      <c r="D88" s="43">
        <f>E19</f>
        <v>15.06</v>
      </c>
      <c r="E88" s="43">
        <f t="shared" si="59"/>
        <v>22.84</v>
      </c>
      <c r="F88" s="43">
        <f t="shared" si="60"/>
        <v>30.519999999999996</v>
      </c>
      <c r="G88" s="43">
        <f t="shared" si="61"/>
        <v>37.450000000000003</v>
      </c>
      <c r="H88" s="43">
        <f t="shared" si="62"/>
        <v>47.77</v>
      </c>
      <c r="I88" s="40">
        <f t="shared" si="63"/>
        <v>477.70000000000005</v>
      </c>
      <c r="J88" s="94">
        <f t="shared" ca="1" si="64"/>
        <v>20.118846314857848</v>
      </c>
      <c r="M88" s="332"/>
    </row>
    <row r="89" spans="1:17" x14ac:dyDescent="0.25">
      <c r="A89" s="82">
        <f>Q5</f>
        <v>500</v>
      </c>
      <c r="B89" s="77">
        <f t="shared" si="58"/>
        <v>0.22999999999999998</v>
      </c>
      <c r="C89" s="41">
        <f>E13</f>
        <v>11.92</v>
      </c>
      <c r="D89" s="43">
        <f>E20</f>
        <v>16.959999999999997</v>
      </c>
      <c r="E89" s="43">
        <f t="shared" si="59"/>
        <v>27.07</v>
      </c>
      <c r="F89" s="43">
        <f t="shared" si="60"/>
        <v>36.79</v>
      </c>
      <c r="G89" s="43">
        <f t="shared" si="61"/>
        <v>45.550000000000004</v>
      </c>
      <c r="H89" s="43">
        <f t="shared" si="62"/>
        <v>56.230000000000004</v>
      </c>
      <c r="I89" s="40">
        <f t="shared" si="63"/>
        <v>562.30000000000007</v>
      </c>
      <c r="J89" s="94">
        <f t="shared" ca="1" si="64"/>
        <v>23.533899260053069</v>
      </c>
      <c r="M89" s="332"/>
    </row>
    <row r="90" spans="1:17" x14ac:dyDescent="0.25">
      <c r="A90" s="82">
        <f>Q6</f>
        <v>1000</v>
      </c>
      <c r="B90" s="77">
        <f t="shared" si="58"/>
        <v>0.22999999999999998</v>
      </c>
      <c r="C90" s="41">
        <f>E14</f>
        <v>13.92</v>
      </c>
      <c r="D90" s="43">
        <f>E21</f>
        <v>21.720000000000002</v>
      </c>
      <c r="E90" s="43">
        <f t="shared" si="59"/>
        <v>34.660000000000004</v>
      </c>
      <c r="F90" s="43">
        <f t="shared" si="60"/>
        <v>46.57</v>
      </c>
      <c r="G90" s="43">
        <f t="shared" si="61"/>
        <v>57.13</v>
      </c>
      <c r="H90" s="43">
        <f t="shared" si="62"/>
        <v>67.27</v>
      </c>
      <c r="I90" s="40">
        <f t="shared" si="63"/>
        <v>672.69999999999993</v>
      </c>
      <c r="J90" s="94">
        <f t="shared" ca="1" si="64"/>
        <v>30.134070863015506</v>
      </c>
      <c r="M90" s="332"/>
    </row>
    <row r="91" spans="1:17" x14ac:dyDescent="0.25">
      <c r="A91" s="82">
        <f>Q7</f>
        <v>2000</v>
      </c>
      <c r="B91" s="77">
        <f t="shared" si="58"/>
        <v>0.22999999999999998</v>
      </c>
      <c r="C91" s="41">
        <f>E15</f>
        <v>18.399999999999999</v>
      </c>
      <c r="D91" s="43">
        <f>E22</f>
        <v>31.219999999999995</v>
      </c>
      <c r="E91" s="43">
        <f t="shared" si="59"/>
        <v>51.370000000000005</v>
      </c>
      <c r="F91" s="43">
        <f t="shared" si="60"/>
        <v>64.86999999999999</v>
      </c>
      <c r="G91" s="43">
        <f t="shared" si="61"/>
        <v>77.650000000000006</v>
      </c>
      <c r="H91" s="43">
        <f t="shared" si="62"/>
        <v>89.949999999999989</v>
      </c>
      <c r="I91" s="40">
        <f t="shared" si="63"/>
        <v>899.49999999999989</v>
      </c>
      <c r="J91" s="94">
        <f t="shared" ca="1" si="64"/>
        <v>44.322281908018731</v>
      </c>
      <c r="M91" s="332"/>
    </row>
    <row r="92" spans="1:17" x14ac:dyDescent="0.25">
      <c r="A92" s="82">
        <f>Q8+0.1</f>
        <v>3000.1</v>
      </c>
      <c r="B92" s="77">
        <f t="shared" si="58"/>
        <v>0.22999999999999998</v>
      </c>
      <c r="C92" s="41">
        <f>E16</f>
        <v>20.499999999999996</v>
      </c>
      <c r="D92" s="43">
        <f>E23</f>
        <v>36.080000000000005</v>
      </c>
      <c r="E92" s="43">
        <f t="shared" si="59"/>
        <v>54.43</v>
      </c>
      <c r="F92" s="43">
        <f t="shared" si="60"/>
        <v>73.599999999999994</v>
      </c>
      <c r="G92" s="43">
        <f t="shared" si="61"/>
        <v>88.15</v>
      </c>
      <c r="H92" s="43">
        <f t="shared" si="62"/>
        <v>107.88999999999999</v>
      </c>
      <c r="I92" s="40">
        <f t="shared" si="63"/>
        <v>1078.8999999999999</v>
      </c>
      <c r="J92" s="94">
        <f t="shared" ca="1" si="64"/>
        <v>48.011854740056762</v>
      </c>
      <c r="M92" s="332"/>
    </row>
    <row r="95" spans="1:17" x14ac:dyDescent="0.25">
      <c r="A95" s="40" t="s">
        <v>360</v>
      </c>
      <c r="B95" s="84">
        <f>B83</f>
        <v>330.04746310688563</v>
      </c>
      <c r="C95" s="40" t="s">
        <v>18</v>
      </c>
      <c r="M95" s="332"/>
    </row>
    <row r="96" spans="1:17" x14ac:dyDescent="0.25">
      <c r="A96" s="40" t="s">
        <v>361</v>
      </c>
      <c r="B96" s="84">
        <f>B80</f>
        <v>40</v>
      </c>
      <c r="C96" s="40" t="s">
        <v>97</v>
      </c>
      <c r="M96" s="332"/>
    </row>
    <row r="97" spans="1:3" x14ac:dyDescent="0.25">
      <c r="A97" s="40" t="s">
        <v>362</v>
      </c>
      <c r="B97" s="85">
        <f ca="1">_xlfn.FORECAST.LINEAR(Press1,OFFSET(J87:J92,MATCH(Press1,A87:A92,1)-1,0,2),OFFSET(A87:A92,MATCH(Press1,A87:A92,1)-1,0,2))</f>
        <v>18.565266904313823</v>
      </c>
      <c r="C97" s="40" t="s">
        <v>19</v>
      </c>
    </row>
  </sheetData>
  <mergeCells count="3">
    <mergeCell ref="C9:E9"/>
    <mergeCell ref="F9:H9"/>
    <mergeCell ref="L9:N9"/>
  </mergeCells>
  <pageMargins left="0.70866141732283472" right="0.70866141732283472" top="0.74803149606299213" bottom="0.74803149606299213" header="0.31496062992125984" footer="0.31496062992125984"/>
  <pageSetup scale="56" orientation="landscape" r:id="rId1"/>
  <rowBreaks count="1" manualBreakCount="1">
    <brk id="54" max="1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19CED-53A9-4647-98EE-C131935B02A3}">
  <sheetPr codeName="Sheet4">
    <tabColor rgb="FFFF0000"/>
  </sheetPr>
  <dimension ref="A1:AA97"/>
  <sheetViews>
    <sheetView topLeftCell="A24" workbookViewId="0">
      <selection activeCell="F51" sqref="F51"/>
    </sheetView>
  </sheetViews>
  <sheetFormatPr defaultColWidth="9.140625" defaultRowHeight="15" x14ac:dyDescent="0.25"/>
  <cols>
    <col min="1" max="1" width="14.7109375" style="40" customWidth="1"/>
    <col min="2" max="2" width="11.28515625" style="77" customWidth="1"/>
    <col min="3" max="3" width="12.42578125" style="40" customWidth="1"/>
    <col min="4" max="4" width="19.140625" style="40" customWidth="1"/>
    <col min="5" max="5" width="13.7109375" style="40" customWidth="1"/>
    <col min="6" max="6" width="14.85546875" style="40" customWidth="1"/>
    <col min="7" max="7" width="13.140625" style="40" customWidth="1"/>
    <col min="8" max="8" width="9.140625" style="40"/>
    <col min="9" max="9" width="12.140625" style="40" customWidth="1"/>
    <col min="10" max="10" width="10.5703125" style="40" customWidth="1"/>
    <col min="11" max="11" width="12" style="40" customWidth="1"/>
    <col min="12" max="12" width="9.140625" style="40" customWidth="1"/>
    <col min="13" max="13" width="9.140625" style="44"/>
    <col min="14" max="16384" width="9.140625" style="40"/>
  </cols>
  <sheetData>
    <row r="1" spans="1:27" x14ac:dyDescent="0.25">
      <c r="B1" s="41" t="s">
        <v>305</v>
      </c>
      <c r="C1" s="42">
        <v>44371</v>
      </c>
      <c r="D1" s="331" t="s">
        <v>306</v>
      </c>
      <c r="E1" s="331" t="s">
        <v>363</v>
      </c>
      <c r="F1" s="43"/>
      <c r="M1" s="332"/>
    </row>
    <row r="2" spans="1:27" ht="21" x14ac:dyDescent="0.35">
      <c r="A2" s="45" t="s">
        <v>308</v>
      </c>
      <c r="B2" s="46"/>
      <c r="C2" s="45"/>
      <c r="D2" s="45"/>
      <c r="E2" s="45"/>
      <c r="F2" s="45"/>
      <c r="G2" s="45"/>
      <c r="H2" s="45"/>
      <c r="I2" s="45"/>
      <c r="J2" s="45"/>
      <c r="K2" s="45"/>
      <c r="L2" s="45"/>
      <c r="M2" s="40"/>
      <c r="P2" s="47" t="s">
        <v>309</v>
      </c>
      <c r="Q2" s="49" t="s">
        <v>310</v>
      </c>
    </row>
    <row r="3" spans="1:27" x14ac:dyDescent="0.25">
      <c r="A3" s="47" t="s">
        <v>311</v>
      </c>
      <c r="B3" s="128"/>
      <c r="C3" s="47" t="s">
        <v>364</v>
      </c>
      <c r="D3" s="47"/>
      <c r="E3" s="47"/>
      <c r="F3" s="47"/>
      <c r="G3" s="48"/>
      <c r="H3" s="43"/>
      <c r="I3" s="49"/>
      <c r="K3" s="49"/>
      <c r="L3" s="49"/>
      <c r="M3" s="40"/>
      <c r="P3" s="47">
        <f>1000*0.1</f>
        <v>100</v>
      </c>
      <c r="Q3" s="47">
        <v>0</v>
      </c>
    </row>
    <row r="4" spans="1:27" x14ac:dyDescent="0.25">
      <c r="A4" s="128" t="s">
        <v>313</v>
      </c>
      <c r="B4" s="128"/>
      <c r="C4" s="128">
        <v>0.375</v>
      </c>
      <c r="D4" s="128"/>
      <c r="E4" s="128"/>
      <c r="F4" s="128"/>
      <c r="G4" s="51" t="s">
        <v>314</v>
      </c>
      <c r="H4" s="333" t="s">
        <v>315</v>
      </c>
      <c r="I4" s="182"/>
      <c r="J4" s="183" t="s">
        <v>19</v>
      </c>
      <c r="K4" s="184"/>
      <c r="L4" s="183"/>
      <c r="M4" s="334"/>
      <c r="N4" s="182"/>
      <c r="O4" s="47"/>
      <c r="P4" s="47">
        <f>1000*0.2</f>
        <v>200</v>
      </c>
      <c r="Q4" s="47">
        <v>100</v>
      </c>
      <c r="S4" s="335" t="s">
        <v>316</v>
      </c>
    </row>
    <row r="5" spans="1:27" x14ac:dyDescent="0.25">
      <c r="A5" s="128" t="s">
        <v>317</v>
      </c>
      <c r="B5" s="128"/>
      <c r="C5" s="128">
        <v>25.8</v>
      </c>
      <c r="D5" s="128"/>
      <c r="E5" s="128"/>
      <c r="F5" s="128"/>
      <c r="G5" s="52" t="s">
        <v>318</v>
      </c>
      <c r="H5" s="185">
        <v>73.5</v>
      </c>
      <c r="I5" s="184"/>
      <c r="J5" s="182">
        <f>H5/1000*25</f>
        <v>1.8374999999999999</v>
      </c>
      <c r="K5" s="186" t="s">
        <v>319</v>
      </c>
      <c r="L5" s="182"/>
      <c r="M5" s="334"/>
      <c r="N5" s="182"/>
      <c r="O5" s="47"/>
      <c r="P5" s="47">
        <f>1000*0.4</f>
        <v>400</v>
      </c>
      <c r="Q5" s="47">
        <v>500</v>
      </c>
      <c r="S5" s="40">
        <v>300</v>
      </c>
    </row>
    <row r="6" spans="1:27" x14ac:dyDescent="0.25">
      <c r="A6" s="128" t="s">
        <v>320</v>
      </c>
      <c r="B6" s="128"/>
      <c r="C6" s="128">
        <f>0.15-0.014</f>
        <v>0.13599999999999998</v>
      </c>
      <c r="D6" s="128"/>
      <c r="E6" s="128"/>
      <c r="F6" s="128"/>
      <c r="G6" s="51" t="s">
        <v>321</v>
      </c>
      <c r="H6" s="185">
        <v>64.3</v>
      </c>
      <c r="I6" s="184"/>
      <c r="J6" s="182">
        <f>H6/1000*25</f>
        <v>1.6074999999999999</v>
      </c>
      <c r="K6" s="186" t="s">
        <v>319</v>
      </c>
      <c r="L6" s="182"/>
      <c r="M6" s="334"/>
      <c r="N6" s="182"/>
      <c r="O6" s="47"/>
      <c r="P6" s="47">
        <f>1000*0.6</f>
        <v>600</v>
      </c>
      <c r="Q6" s="47">
        <v>1000</v>
      </c>
    </row>
    <row r="7" spans="1:27" x14ac:dyDescent="0.25">
      <c r="A7" s="53" t="s">
        <v>322</v>
      </c>
      <c r="B7" s="128"/>
      <c r="C7" s="128" t="s">
        <v>323</v>
      </c>
      <c r="D7" s="128"/>
      <c r="E7" s="128"/>
      <c r="F7" s="128"/>
      <c r="H7" s="182"/>
      <c r="I7" s="182" t="s">
        <v>324</v>
      </c>
      <c r="J7" s="183">
        <f>J5-J6</f>
        <v>0.22999999999999998</v>
      </c>
      <c r="K7" s="183" t="s">
        <v>19</v>
      </c>
      <c r="L7" s="186" t="s">
        <v>325</v>
      </c>
      <c r="M7" s="334"/>
      <c r="N7" s="182"/>
      <c r="O7" s="47"/>
      <c r="P7" s="47">
        <f>1000*0.8</f>
        <v>800</v>
      </c>
      <c r="Q7" s="47">
        <v>2000</v>
      </c>
    </row>
    <row r="8" spans="1:27" ht="15.75" thickBot="1" x14ac:dyDescent="0.3">
      <c r="A8" s="53" t="s">
        <v>326</v>
      </c>
      <c r="B8" s="128"/>
      <c r="C8" s="126" t="s">
        <v>327</v>
      </c>
      <c r="D8" s="53"/>
      <c r="E8" s="53"/>
      <c r="F8" s="53"/>
      <c r="G8" s="40" t="s">
        <v>328</v>
      </c>
      <c r="J8" s="50"/>
      <c r="K8" s="50"/>
      <c r="L8" s="50"/>
      <c r="M8" s="336"/>
      <c r="O8" s="54"/>
      <c r="P8" s="54">
        <v>1000</v>
      </c>
      <c r="Q8" s="71">
        <v>3000</v>
      </c>
    </row>
    <row r="9" spans="1:27" x14ac:dyDescent="0.25">
      <c r="A9" s="47" t="s">
        <v>205</v>
      </c>
      <c r="C9" s="394" t="s">
        <v>329</v>
      </c>
      <c r="D9" s="395"/>
      <c r="E9" s="396"/>
      <c r="F9" s="397" t="s">
        <v>330</v>
      </c>
      <c r="G9" s="397"/>
      <c r="H9" s="397"/>
      <c r="I9" s="55" t="s">
        <v>331</v>
      </c>
      <c r="J9" s="56" t="s">
        <v>332</v>
      </c>
      <c r="K9" s="57" t="s">
        <v>333</v>
      </c>
      <c r="L9" s="398"/>
      <c r="M9" s="399"/>
      <c r="N9" s="399"/>
      <c r="O9" s="58"/>
      <c r="P9" s="337" t="s">
        <v>334</v>
      </c>
      <c r="Z9" s="40">
        <v>10</v>
      </c>
      <c r="AA9" s="40">
        <f t="shared" ref="AA9:AA14" si="0">Z9/400*600</f>
        <v>15</v>
      </c>
    </row>
    <row r="10" spans="1:27" ht="15.75" thickBot="1" x14ac:dyDescent="0.3">
      <c r="A10" s="128" t="s">
        <v>8</v>
      </c>
      <c r="B10" s="128" t="s">
        <v>18</v>
      </c>
      <c r="C10" s="53" t="s">
        <v>335</v>
      </c>
      <c r="D10" s="50" t="s">
        <v>365</v>
      </c>
      <c r="E10" s="61" t="s">
        <v>19</v>
      </c>
      <c r="F10" s="62" t="s">
        <v>337</v>
      </c>
      <c r="G10" s="53" t="s">
        <v>338</v>
      </c>
      <c r="H10" s="53" t="s">
        <v>339</v>
      </c>
      <c r="I10" s="64" t="s">
        <v>340</v>
      </c>
      <c r="J10" s="60" t="s">
        <v>19</v>
      </c>
      <c r="K10" s="63" t="s">
        <v>341</v>
      </c>
      <c r="L10" s="63"/>
      <c r="M10" s="65" t="s">
        <v>342</v>
      </c>
      <c r="N10" s="66"/>
      <c r="O10" s="338" t="s">
        <v>343</v>
      </c>
      <c r="P10" s="68" t="s">
        <v>344</v>
      </c>
      <c r="Q10" s="69"/>
      <c r="R10" s="70"/>
      <c r="S10" s="70"/>
      <c r="Z10" s="40">
        <v>50</v>
      </c>
      <c r="AA10" s="40">
        <f t="shared" si="0"/>
        <v>75</v>
      </c>
    </row>
    <row r="11" spans="1:27" x14ac:dyDescent="0.25">
      <c r="A11" s="74">
        <f t="shared" ref="A11:A16" si="1">Q3</f>
        <v>0</v>
      </c>
      <c r="B11" s="128">
        <v>100</v>
      </c>
      <c r="C11" s="43">
        <v>410</v>
      </c>
      <c r="D11" s="43">
        <v>180</v>
      </c>
      <c r="E11" s="339">
        <f t="shared" ref="E11:E16" si="2">C11/1000*3600/D11</f>
        <v>8.1999999999999993</v>
      </c>
      <c r="F11" s="100">
        <f t="shared" ref="F11:F16" si="3">E11-$J$7</f>
        <v>7.9699999999999989</v>
      </c>
      <c r="G11" s="24">
        <v>60</v>
      </c>
      <c r="H11" s="24">
        <v>62</v>
      </c>
      <c r="I11" s="72">
        <f t="shared" ref="I11:I16" si="4">60*H11/G11</f>
        <v>62</v>
      </c>
      <c r="J11" s="101">
        <f t="shared" ref="J11:J16" si="5">I11/100*A11/100*0.8</f>
        <v>0</v>
      </c>
      <c r="K11" s="340">
        <f t="shared" ref="K11:K16" si="6">J11/E11</f>
        <v>0</v>
      </c>
      <c r="L11" s="41"/>
      <c r="M11" s="341"/>
      <c r="N11" s="73"/>
      <c r="O11" s="342">
        <v>1</v>
      </c>
      <c r="P11" s="43">
        <f t="shared" ref="P11:P16" si="7">I11*O11</f>
        <v>62</v>
      </c>
      <c r="Q11" s="69"/>
      <c r="R11" s="70"/>
      <c r="S11" s="70"/>
    </row>
    <row r="12" spans="1:27" x14ac:dyDescent="0.25">
      <c r="A12" s="74">
        <f t="shared" si="1"/>
        <v>100</v>
      </c>
      <c r="B12" s="128">
        <v>100</v>
      </c>
      <c r="C12" s="43">
        <v>491</v>
      </c>
      <c r="D12" s="43">
        <v>180</v>
      </c>
      <c r="E12" s="339">
        <f t="shared" si="2"/>
        <v>9.82</v>
      </c>
      <c r="F12" s="100">
        <f t="shared" si="3"/>
        <v>9.59</v>
      </c>
      <c r="G12" s="24">
        <v>60</v>
      </c>
      <c r="H12" s="24">
        <v>57</v>
      </c>
      <c r="I12" s="72">
        <f t="shared" si="4"/>
        <v>57</v>
      </c>
      <c r="J12" s="101">
        <f t="shared" si="5"/>
        <v>0.45599999999999996</v>
      </c>
      <c r="K12" s="340">
        <f t="shared" si="6"/>
        <v>4.6435845213849282E-2</v>
      </c>
      <c r="L12" s="41"/>
      <c r="M12" s="341">
        <f>I12/$I$12</f>
        <v>1</v>
      </c>
      <c r="N12" s="73"/>
      <c r="O12" s="342">
        <v>1</v>
      </c>
      <c r="P12" s="43">
        <f t="shared" si="7"/>
        <v>57</v>
      </c>
      <c r="Z12" s="40">
        <v>100</v>
      </c>
      <c r="AA12" s="40">
        <f t="shared" si="0"/>
        <v>150</v>
      </c>
    </row>
    <row r="13" spans="1:27" x14ac:dyDescent="0.25">
      <c r="A13" s="74">
        <f t="shared" si="1"/>
        <v>500</v>
      </c>
      <c r="B13" s="128">
        <v>100</v>
      </c>
      <c r="C13" s="43">
        <v>580</v>
      </c>
      <c r="D13" s="43">
        <v>180</v>
      </c>
      <c r="E13" s="339">
        <f t="shared" si="2"/>
        <v>11.6</v>
      </c>
      <c r="F13" s="100">
        <f t="shared" si="3"/>
        <v>11.37</v>
      </c>
      <c r="G13" s="24">
        <v>60</v>
      </c>
      <c r="H13" s="24">
        <v>53</v>
      </c>
      <c r="I13" s="72">
        <f t="shared" si="4"/>
        <v>53</v>
      </c>
      <c r="J13" s="101">
        <f t="shared" si="5"/>
        <v>2.12</v>
      </c>
      <c r="K13" s="340">
        <f t="shared" si="6"/>
        <v>0.18275862068965518</v>
      </c>
      <c r="L13" s="41"/>
      <c r="M13" s="341">
        <f>I13/$I$12</f>
        <v>0.92982456140350878</v>
      </c>
      <c r="N13" s="73"/>
      <c r="O13" s="342">
        <v>1</v>
      </c>
      <c r="P13" s="43">
        <f t="shared" si="7"/>
        <v>53</v>
      </c>
      <c r="Z13" s="40">
        <v>200</v>
      </c>
      <c r="AA13" s="40">
        <f t="shared" si="0"/>
        <v>300</v>
      </c>
    </row>
    <row r="14" spans="1:27" x14ac:dyDescent="0.25">
      <c r="A14" s="74">
        <f t="shared" si="1"/>
        <v>1000</v>
      </c>
      <c r="B14" s="128">
        <v>100</v>
      </c>
      <c r="C14" s="43">
        <v>704</v>
      </c>
      <c r="D14" s="43">
        <v>180</v>
      </c>
      <c r="E14" s="339">
        <f t="shared" si="2"/>
        <v>14.079999999999998</v>
      </c>
      <c r="F14" s="100">
        <f t="shared" si="3"/>
        <v>13.849999999999998</v>
      </c>
      <c r="G14" s="24">
        <v>60</v>
      </c>
      <c r="H14" s="24">
        <v>49</v>
      </c>
      <c r="I14" s="72">
        <f t="shared" si="4"/>
        <v>49</v>
      </c>
      <c r="J14" s="101">
        <f t="shared" si="5"/>
        <v>3.9200000000000004</v>
      </c>
      <c r="K14" s="340">
        <f t="shared" si="6"/>
        <v>0.27840909090909099</v>
      </c>
      <c r="L14" s="41"/>
      <c r="M14" s="341">
        <f>I14/$I$12</f>
        <v>0.85964912280701755</v>
      </c>
      <c r="N14" s="73"/>
      <c r="O14" s="342">
        <v>1</v>
      </c>
      <c r="P14" s="43">
        <f t="shared" si="7"/>
        <v>49</v>
      </c>
      <c r="Z14" s="40">
        <v>300</v>
      </c>
      <c r="AA14" s="40">
        <f t="shared" si="0"/>
        <v>450</v>
      </c>
    </row>
    <row r="15" spans="1:27" x14ac:dyDescent="0.25">
      <c r="A15" s="74">
        <f t="shared" si="1"/>
        <v>2000</v>
      </c>
      <c r="B15" s="128">
        <v>100</v>
      </c>
      <c r="C15" s="43">
        <v>1118</v>
      </c>
      <c r="D15" s="43">
        <v>180</v>
      </c>
      <c r="E15" s="339">
        <f t="shared" si="2"/>
        <v>22.36</v>
      </c>
      <c r="F15" s="100">
        <f t="shared" si="3"/>
        <v>22.13</v>
      </c>
      <c r="G15" s="24">
        <v>60</v>
      </c>
      <c r="H15" s="24">
        <v>41</v>
      </c>
      <c r="I15" s="72">
        <f t="shared" si="4"/>
        <v>41</v>
      </c>
      <c r="J15" s="101">
        <f t="shared" si="5"/>
        <v>6.56</v>
      </c>
      <c r="K15" s="340">
        <f t="shared" si="6"/>
        <v>0.29338103756708406</v>
      </c>
      <c r="L15" s="41"/>
      <c r="M15" s="341">
        <f>I15/$I$12</f>
        <v>0.7192982456140351</v>
      </c>
      <c r="N15" s="73"/>
      <c r="O15" s="342">
        <v>1</v>
      </c>
      <c r="P15" s="43">
        <f t="shared" si="7"/>
        <v>41</v>
      </c>
      <c r="Z15" s="40">
        <v>400</v>
      </c>
      <c r="AA15" s="40">
        <f>Z15/400*600</f>
        <v>600</v>
      </c>
    </row>
    <row r="16" spans="1:27" x14ac:dyDescent="0.25">
      <c r="A16" s="74">
        <f t="shared" si="1"/>
        <v>3000</v>
      </c>
      <c r="B16" s="128">
        <v>100</v>
      </c>
      <c r="C16" s="43">
        <v>1221</v>
      </c>
      <c r="D16" s="43">
        <v>180</v>
      </c>
      <c r="E16" s="339">
        <f t="shared" si="2"/>
        <v>24.42</v>
      </c>
      <c r="F16" s="100">
        <f t="shared" si="3"/>
        <v>24.19</v>
      </c>
      <c r="G16" s="24">
        <v>60</v>
      </c>
      <c r="H16" s="24">
        <v>33</v>
      </c>
      <c r="I16" s="72">
        <f t="shared" si="4"/>
        <v>33</v>
      </c>
      <c r="J16" s="101">
        <f t="shared" si="5"/>
        <v>7.9200000000000008</v>
      </c>
      <c r="K16" s="340">
        <f t="shared" si="6"/>
        <v>0.32432432432432434</v>
      </c>
      <c r="L16" s="41"/>
      <c r="M16" s="341">
        <f>I16/$I$12</f>
        <v>0.57894736842105265</v>
      </c>
      <c r="N16" s="73"/>
      <c r="O16" s="342">
        <v>1</v>
      </c>
      <c r="P16" s="43">
        <f t="shared" si="7"/>
        <v>33</v>
      </c>
    </row>
    <row r="17" spans="1:27" x14ac:dyDescent="0.25">
      <c r="A17" s="74"/>
      <c r="B17" s="74"/>
      <c r="C17" s="43"/>
      <c r="D17" s="43"/>
      <c r="E17" s="343"/>
      <c r="F17" s="100"/>
      <c r="G17" s="24"/>
      <c r="H17" s="24"/>
      <c r="I17" s="72"/>
      <c r="J17" s="101"/>
      <c r="K17" s="41"/>
      <c r="L17" s="41"/>
      <c r="M17" s="341"/>
      <c r="N17" s="73"/>
      <c r="O17" s="342"/>
      <c r="P17" s="43"/>
    </row>
    <row r="18" spans="1:27" x14ac:dyDescent="0.25">
      <c r="A18" s="74">
        <f t="shared" ref="A18:A23" si="8">Q3</f>
        <v>0</v>
      </c>
      <c r="B18" s="74">
        <v>200</v>
      </c>
      <c r="C18" s="43">
        <v>588</v>
      </c>
      <c r="D18" s="43">
        <v>180</v>
      </c>
      <c r="E18" s="339">
        <f t="shared" ref="E18:E23" si="9">C18/1000*3600/D18</f>
        <v>11.759999999999998</v>
      </c>
      <c r="F18" s="100">
        <f t="shared" ref="F18:F23" si="10">E18-$J$7</f>
        <v>11.529999999999998</v>
      </c>
      <c r="G18" s="24">
        <v>26</v>
      </c>
      <c r="H18" s="24">
        <v>80</v>
      </c>
      <c r="I18" s="72">
        <f t="shared" ref="I18:I23" si="11">60*H18/G18</f>
        <v>184.61538461538461</v>
      </c>
      <c r="J18" s="101">
        <f t="shared" ref="J18:J23" si="12">I18/100*A18/100*0.8</f>
        <v>0</v>
      </c>
      <c r="K18" s="340">
        <f t="shared" ref="K18:K23" si="13">J18/E18</f>
        <v>0</v>
      </c>
      <c r="L18" s="41"/>
      <c r="M18" s="341"/>
      <c r="N18" s="73"/>
      <c r="O18" s="342">
        <f t="shared" ref="O18:O23" si="14">B18/S$5</f>
        <v>0.66666666666666663</v>
      </c>
      <c r="P18" s="43">
        <f t="shared" ref="P18:P23" si="15">I18*O18</f>
        <v>123.07692307692307</v>
      </c>
      <c r="Q18" s="69"/>
      <c r="R18" s="70"/>
      <c r="S18" s="70"/>
    </row>
    <row r="19" spans="1:27" x14ac:dyDescent="0.25">
      <c r="A19" s="74">
        <f t="shared" si="8"/>
        <v>100</v>
      </c>
      <c r="B19" s="74">
        <v>200</v>
      </c>
      <c r="C19" s="43">
        <v>725</v>
      </c>
      <c r="D19" s="43">
        <v>180</v>
      </c>
      <c r="E19" s="339">
        <f t="shared" si="9"/>
        <v>14.5</v>
      </c>
      <c r="F19" s="100">
        <f t="shared" si="10"/>
        <v>14.27</v>
      </c>
      <c r="G19" s="24">
        <v>28</v>
      </c>
      <c r="H19" s="24">
        <v>80</v>
      </c>
      <c r="I19" s="72">
        <f t="shared" si="11"/>
        <v>171.42857142857142</v>
      </c>
      <c r="J19" s="101">
        <f t="shared" si="12"/>
        <v>1.3714285714285714</v>
      </c>
      <c r="K19" s="340">
        <f t="shared" si="13"/>
        <v>9.4581280788177347E-2</v>
      </c>
      <c r="L19" s="41"/>
      <c r="M19" s="341">
        <f>I19/$I$19</f>
        <v>1</v>
      </c>
      <c r="N19" s="73"/>
      <c r="O19" s="342">
        <f t="shared" si="14"/>
        <v>0.66666666666666663</v>
      </c>
      <c r="P19" s="43">
        <f t="shared" si="15"/>
        <v>114.28571428571428</v>
      </c>
      <c r="Z19" s="40">
        <v>100</v>
      </c>
      <c r="AA19" s="40">
        <f>Z19/400*600</f>
        <v>150</v>
      </c>
    </row>
    <row r="20" spans="1:27" x14ac:dyDescent="0.25">
      <c r="A20" s="74">
        <f t="shared" si="8"/>
        <v>500</v>
      </c>
      <c r="B20" s="74">
        <v>200</v>
      </c>
      <c r="C20" s="43">
        <v>895</v>
      </c>
      <c r="D20" s="43">
        <v>180</v>
      </c>
      <c r="E20" s="339">
        <f t="shared" si="9"/>
        <v>17.899999999999999</v>
      </c>
      <c r="F20" s="100">
        <f t="shared" si="10"/>
        <v>17.669999999999998</v>
      </c>
      <c r="G20" s="24">
        <v>30</v>
      </c>
      <c r="H20" s="24">
        <v>80</v>
      </c>
      <c r="I20" s="72">
        <f t="shared" si="11"/>
        <v>160</v>
      </c>
      <c r="J20" s="101">
        <f t="shared" si="12"/>
        <v>6.4</v>
      </c>
      <c r="K20" s="340">
        <f t="shared" si="13"/>
        <v>0.35754189944134085</v>
      </c>
      <c r="L20" s="41"/>
      <c r="M20" s="341">
        <f>I20/$I$19</f>
        <v>0.93333333333333335</v>
      </c>
      <c r="N20" s="73"/>
      <c r="O20" s="342">
        <f t="shared" si="14"/>
        <v>0.66666666666666663</v>
      </c>
      <c r="P20" s="43">
        <f t="shared" si="15"/>
        <v>106.66666666666666</v>
      </c>
      <c r="Z20" s="40">
        <v>200</v>
      </c>
      <c r="AA20" s="40">
        <f>Z20/400*600</f>
        <v>300</v>
      </c>
    </row>
    <row r="21" spans="1:27" x14ac:dyDescent="0.25">
      <c r="A21" s="74">
        <f t="shared" si="8"/>
        <v>1000</v>
      </c>
      <c r="B21" s="74">
        <v>200</v>
      </c>
      <c r="C21" s="43">
        <v>1230</v>
      </c>
      <c r="D21" s="43">
        <v>180</v>
      </c>
      <c r="E21" s="339">
        <f t="shared" si="9"/>
        <v>24.6</v>
      </c>
      <c r="F21" s="100">
        <f t="shared" si="10"/>
        <v>24.37</v>
      </c>
      <c r="G21" s="24">
        <v>32</v>
      </c>
      <c r="H21" s="24">
        <v>80</v>
      </c>
      <c r="I21" s="72">
        <f t="shared" si="11"/>
        <v>150</v>
      </c>
      <c r="J21" s="101">
        <f t="shared" si="12"/>
        <v>12</v>
      </c>
      <c r="K21" s="340">
        <f t="shared" si="13"/>
        <v>0.48780487804878048</v>
      </c>
      <c r="L21" s="41"/>
      <c r="M21" s="341">
        <f>I21/$I$19</f>
        <v>0.87500000000000011</v>
      </c>
      <c r="N21" s="73"/>
      <c r="O21" s="342">
        <f t="shared" si="14"/>
        <v>0.66666666666666663</v>
      </c>
      <c r="P21" s="43">
        <f t="shared" si="15"/>
        <v>100</v>
      </c>
      <c r="Z21" s="40">
        <v>300</v>
      </c>
      <c r="AA21" s="40">
        <f>Z21/400*600</f>
        <v>450</v>
      </c>
    </row>
    <row r="22" spans="1:27" x14ac:dyDescent="0.25">
      <c r="A22" s="74">
        <f t="shared" si="8"/>
        <v>2000</v>
      </c>
      <c r="B22" s="74">
        <v>200</v>
      </c>
      <c r="C22" s="43">
        <v>2078</v>
      </c>
      <c r="D22" s="43">
        <v>180</v>
      </c>
      <c r="E22" s="339">
        <f t="shared" si="9"/>
        <v>41.559999999999995</v>
      </c>
      <c r="F22" s="100">
        <f t="shared" si="10"/>
        <v>41.33</v>
      </c>
      <c r="G22" s="24">
        <v>38</v>
      </c>
      <c r="H22" s="24">
        <v>80</v>
      </c>
      <c r="I22" s="72">
        <f t="shared" si="11"/>
        <v>126.31578947368421</v>
      </c>
      <c r="J22" s="101">
        <f t="shared" si="12"/>
        <v>20.210526315789476</v>
      </c>
      <c r="K22" s="340">
        <f t="shared" si="13"/>
        <v>0.486297553315435</v>
      </c>
      <c r="L22" s="41"/>
      <c r="M22" s="341">
        <f>I22/$I$19</f>
        <v>0.73684210526315796</v>
      </c>
      <c r="N22" s="73"/>
      <c r="O22" s="342">
        <f t="shared" si="14"/>
        <v>0.66666666666666663</v>
      </c>
      <c r="P22" s="43">
        <f t="shared" si="15"/>
        <v>84.210526315789465</v>
      </c>
      <c r="Z22" s="40">
        <v>400</v>
      </c>
      <c r="AA22" s="40">
        <f>Z22/400*600</f>
        <v>600</v>
      </c>
    </row>
    <row r="23" spans="1:27" x14ac:dyDescent="0.25">
      <c r="A23" s="74">
        <f t="shared" si="8"/>
        <v>3000</v>
      </c>
      <c r="B23" s="74">
        <v>200</v>
      </c>
      <c r="C23" s="43">
        <v>2335</v>
      </c>
      <c r="D23" s="43">
        <v>180</v>
      </c>
      <c r="E23" s="339">
        <f t="shared" si="9"/>
        <v>46.7</v>
      </c>
      <c r="F23" s="100">
        <f t="shared" si="10"/>
        <v>46.470000000000006</v>
      </c>
      <c r="G23" s="24">
        <v>40</v>
      </c>
      <c r="H23" s="24">
        <v>80</v>
      </c>
      <c r="I23" s="72">
        <f t="shared" si="11"/>
        <v>120</v>
      </c>
      <c r="J23" s="101">
        <f t="shared" si="12"/>
        <v>28.8</v>
      </c>
      <c r="K23" s="340">
        <f t="shared" si="13"/>
        <v>0.61670235546038543</v>
      </c>
      <c r="L23" s="41"/>
      <c r="M23" s="341">
        <f>I23/$I$19</f>
        <v>0.70000000000000007</v>
      </c>
      <c r="N23" s="73"/>
      <c r="O23" s="342">
        <f t="shared" si="14"/>
        <v>0.66666666666666663</v>
      </c>
      <c r="P23" s="43">
        <f t="shared" si="15"/>
        <v>80</v>
      </c>
    </row>
    <row r="24" spans="1:27" x14ac:dyDescent="0.25">
      <c r="A24" s="128"/>
      <c r="B24" s="128"/>
      <c r="C24" s="43"/>
      <c r="D24" s="43"/>
      <c r="E24" s="343"/>
      <c r="F24" s="100"/>
      <c r="G24" s="24"/>
      <c r="H24" s="24"/>
      <c r="I24" s="72"/>
      <c r="J24" s="101"/>
      <c r="K24" s="41"/>
      <c r="L24" s="41"/>
      <c r="M24" s="341"/>
      <c r="N24" s="73"/>
      <c r="O24" s="43"/>
      <c r="P24" s="43"/>
    </row>
    <row r="25" spans="1:27" x14ac:dyDescent="0.25">
      <c r="A25" s="128">
        <f t="shared" ref="A25:A30" si="16">Q3</f>
        <v>0</v>
      </c>
      <c r="B25" s="128">
        <f t="shared" ref="B25:B30" si="17">P$5</f>
        <v>400</v>
      </c>
      <c r="C25" s="43">
        <v>699</v>
      </c>
      <c r="D25" s="43">
        <v>120</v>
      </c>
      <c r="E25" s="339">
        <f t="shared" ref="E25:E30" si="18">C25/1000*3600/D25</f>
        <v>20.969999999999995</v>
      </c>
      <c r="F25" s="100">
        <f t="shared" ref="F25:F30" si="19">E25-$J$7</f>
        <v>20.739999999999995</v>
      </c>
      <c r="G25" s="24">
        <v>19</v>
      </c>
      <c r="H25" s="24">
        <v>80</v>
      </c>
      <c r="I25" s="72">
        <f t="shared" ref="I25:I30" si="20">60*H25/G25</f>
        <v>252.63157894736841</v>
      </c>
      <c r="J25" s="101">
        <f t="shared" ref="J25:J30" si="21">I25/100*A25/100*0.8</f>
        <v>0</v>
      </c>
      <c r="K25" s="340">
        <f t="shared" ref="K25:K30" si="22">J25/E25</f>
        <v>0</v>
      </c>
      <c r="L25" s="41"/>
      <c r="M25" s="341"/>
      <c r="N25" s="73"/>
      <c r="O25" s="43"/>
      <c r="P25" s="43"/>
      <c r="Q25" s="69"/>
      <c r="R25" s="70"/>
      <c r="S25" s="70"/>
    </row>
    <row r="26" spans="1:27" x14ac:dyDescent="0.25">
      <c r="A26" s="128">
        <f t="shared" si="16"/>
        <v>100</v>
      </c>
      <c r="B26" s="128">
        <f t="shared" si="17"/>
        <v>400</v>
      </c>
      <c r="C26" s="43">
        <v>844</v>
      </c>
      <c r="D26" s="43">
        <v>120</v>
      </c>
      <c r="E26" s="339">
        <f t="shared" si="18"/>
        <v>25.32</v>
      </c>
      <c r="F26" s="100">
        <f t="shared" si="19"/>
        <v>25.09</v>
      </c>
      <c r="G26" s="24">
        <v>20</v>
      </c>
      <c r="H26" s="24">
        <v>80</v>
      </c>
      <c r="I26" s="72">
        <f t="shared" si="20"/>
        <v>240</v>
      </c>
      <c r="J26" s="101">
        <f t="shared" si="21"/>
        <v>1.92</v>
      </c>
      <c r="K26" s="340">
        <f t="shared" si="22"/>
        <v>7.5829383886255916E-2</v>
      </c>
      <c r="L26" s="41"/>
      <c r="M26" s="341">
        <f>I26/$I$26</f>
        <v>1</v>
      </c>
      <c r="N26" s="73"/>
      <c r="O26" s="43"/>
      <c r="P26" s="43"/>
      <c r="Z26" s="40">
        <v>100</v>
      </c>
      <c r="AA26" s="40">
        <f>Z26/400*600</f>
        <v>150</v>
      </c>
    </row>
    <row r="27" spans="1:27" x14ac:dyDescent="0.25">
      <c r="A27" s="128">
        <f t="shared" si="16"/>
        <v>500</v>
      </c>
      <c r="B27" s="128">
        <f t="shared" si="17"/>
        <v>400</v>
      </c>
      <c r="C27" s="43">
        <v>1065</v>
      </c>
      <c r="D27" s="43">
        <v>120</v>
      </c>
      <c r="E27" s="339">
        <f t="shared" si="18"/>
        <v>31.95</v>
      </c>
      <c r="F27" s="100">
        <f t="shared" si="19"/>
        <v>31.72</v>
      </c>
      <c r="G27" s="24">
        <v>21</v>
      </c>
      <c r="H27" s="24">
        <v>80</v>
      </c>
      <c r="I27" s="72">
        <f t="shared" si="20"/>
        <v>228.57142857142858</v>
      </c>
      <c r="J27" s="101">
        <f t="shared" si="21"/>
        <v>9.1428571428571441</v>
      </c>
      <c r="K27" s="340">
        <f t="shared" si="22"/>
        <v>0.28616141292197633</v>
      </c>
      <c r="L27" s="41"/>
      <c r="M27" s="341">
        <f>I27/$I$26</f>
        <v>0.95238095238095244</v>
      </c>
      <c r="N27" s="73"/>
      <c r="O27" s="43"/>
      <c r="P27" s="43"/>
      <c r="Z27" s="40">
        <v>200</v>
      </c>
      <c r="AA27" s="40">
        <f>Z27/400*600</f>
        <v>300</v>
      </c>
    </row>
    <row r="28" spans="1:27" x14ac:dyDescent="0.25">
      <c r="A28" s="128">
        <f t="shared" si="16"/>
        <v>1000</v>
      </c>
      <c r="B28" s="128">
        <f t="shared" si="17"/>
        <v>400</v>
      </c>
      <c r="C28" s="43">
        <v>1440</v>
      </c>
      <c r="D28" s="43">
        <v>120</v>
      </c>
      <c r="E28" s="339">
        <f t="shared" si="18"/>
        <v>43.2</v>
      </c>
      <c r="F28" s="100">
        <f t="shared" si="19"/>
        <v>42.970000000000006</v>
      </c>
      <c r="G28" s="24">
        <v>22</v>
      </c>
      <c r="H28" s="24">
        <v>80</v>
      </c>
      <c r="I28" s="72">
        <f t="shared" si="20"/>
        <v>218.18181818181819</v>
      </c>
      <c r="J28" s="101">
        <f t="shared" si="21"/>
        <v>17.454545454545453</v>
      </c>
      <c r="K28" s="340">
        <f t="shared" si="22"/>
        <v>0.40404040404040398</v>
      </c>
      <c r="L28" s="41"/>
      <c r="M28" s="341">
        <f>I28/$I$26</f>
        <v>0.90909090909090906</v>
      </c>
      <c r="N28" s="73"/>
      <c r="O28" s="43"/>
      <c r="P28" s="43"/>
      <c r="Z28" s="40">
        <v>300</v>
      </c>
      <c r="AA28" s="40">
        <f>Z28/400*600</f>
        <v>450</v>
      </c>
    </row>
    <row r="29" spans="1:27" x14ac:dyDescent="0.25">
      <c r="A29" s="128">
        <f t="shared" si="16"/>
        <v>2000</v>
      </c>
      <c r="B29" s="128">
        <f t="shared" si="17"/>
        <v>400</v>
      </c>
      <c r="C29" s="43">
        <v>2160</v>
      </c>
      <c r="D29" s="43">
        <v>120</v>
      </c>
      <c r="E29" s="339">
        <f t="shared" si="18"/>
        <v>64.800000000000011</v>
      </c>
      <c r="F29" s="100">
        <f t="shared" si="19"/>
        <v>64.570000000000007</v>
      </c>
      <c r="G29" s="24">
        <v>28</v>
      </c>
      <c r="H29" s="24">
        <v>80</v>
      </c>
      <c r="I29" s="72">
        <f t="shared" si="20"/>
        <v>171.42857142857142</v>
      </c>
      <c r="J29" s="101">
        <f t="shared" si="21"/>
        <v>27.428571428571431</v>
      </c>
      <c r="K29" s="340">
        <f t="shared" si="22"/>
        <v>0.42328042328042326</v>
      </c>
      <c r="L29" s="41"/>
      <c r="M29" s="341">
        <f>I29/$I$26</f>
        <v>0.71428571428571419</v>
      </c>
      <c r="N29" s="73"/>
      <c r="O29" s="43"/>
      <c r="P29" s="43"/>
      <c r="Z29" s="40">
        <v>400</v>
      </c>
      <c r="AA29" s="40">
        <f>Z29/400*600</f>
        <v>600</v>
      </c>
    </row>
    <row r="30" spans="1:27" x14ac:dyDescent="0.25">
      <c r="A30" s="128">
        <f t="shared" si="16"/>
        <v>3000</v>
      </c>
      <c r="B30" s="128">
        <f t="shared" si="17"/>
        <v>400</v>
      </c>
      <c r="C30" s="43">
        <v>2450</v>
      </c>
      <c r="D30" s="43">
        <v>120</v>
      </c>
      <c r="E30" s="339">
        <f t="shared" si="18"/>
        <v>73.5</v>
      </c>
      <c r="F30" s="100">
        <f t="shared" si="19"/>
        <v>73.27</v>
      </c>
      <c r="G30" s="24">
        <v>37</v>
      </c>
      <c r="H30" s="24">
        <v>80</v>
      </c>
      <c r="I30" s="72">
        <f t="shared" si="20"/>
        <v>129.72972972972974</v>
      </c>
      <c r="J30" s="101">
        <f t="shared" si="21"/>
        <v>31.135135135135137</v>
      </c>
      <c r="K30" s="340">
        <f t="shared" si="22"/>
        <v>0.42360728075013793</v>
      </c>
      <c r="L30" s="41"/>
      <c r="M30" s="341">
        <f>I30/$I$26</f>
        <v>0.54054054054054057</v>
      </c>
      <c r="N30" s="73"/>
      <c r="O30" s="43"/>
      <c r="P30" s="43"/>
    </row>
    <row r="31" spans="1:27" x14ac:dyDescent="0.25">
      <c r="A31" s="74"/>
      <c r="B31" s="128"/>
      <c r="C31" s="43"/>
      <c r="D31" s="43"/>
      <c r="E31" s="343"/>
      <c r="F31" s="100"/>
      <c r="G31" s="24"/>
      <c r="H31" s="24"/>
      <c r="I31" s="72"/>
      <c r="J31" s="101"/>
      <c r="K31" s="41"/>
      <c r="L31" s="41"/>
      <c r="M31" s="341"/>
      <c r="N31" s="73"/>
      <c r="O31" s="43"/>
      <c r="P31" s="43"/>
    </row>
    <row r="32" spans="1:27" x14ac:dyDescent="0.25">
      <c r="A32" s="128">
        <f t="shared" ref="A32:A37" si="23">Q3</f>
        <v>0</v>
      </c>
      <c r="B32" s="128">
        <f t="shared" ref="B32:B37" si="24">P$6</f>
        <v>600</v>
      </c>
      <c r="C32" s="43">
        <v>935</v>
      </c>
      <c r="D32" s="43">
        <v>120</v>
      </c>
      <c r="E32" s="339">
        <f t="shared" ref="E32:E37" si="25">C32/1000*3600/D32</f>
        <v>28.05</v>
      </c>
      <c r="F32" s="100">
        <f t="shared" ref="F32:F37" si="26">E32-$J$7</f>
        <v>27.82</v>
      </c>
      <c r="G32" s="24">
        <v>12.5</v>
      </c>
      <c r="H32" s="24">
        <v>80</v>
      </c>
      <c r="I32" s="72">
        <f t="shared" ref="I32:I37" si="27">60*H32/G32</f>
        <v>384</v>
      </c>
      <c r="J32" s="101">
        <f t="shared" ref="J32:J37" si="28">I32/100*A32/100*0.8</f>
        <v>0</v>
      </c>
      <c r="K32" s="340">
        <f t="shared" ref="K32:K37" si="29">J32/E32</f>
        <v>0</v>
      </c>
      <c r="L32" s="41"/>
      <c r="M32" s="341"/>
      <c r="N32" s="73"/>
      <c r="O32" s="43"/>
      <c r="P32" s="43"/>
      <c r="Q32" s="69"/>
      <c r="R32" s="70"/>
      <c r="S32" s="70"/>
    </row>
    <row r="33" spans="1:27" x14ac:dyDescent="0.25">
      <c r="A33" s="128">
        <f t="shared" si="23"/>
        <v>100</v>
      </c>
      <c r="B33" s="128">
        <f t="shared" si="24"/>
        <v>600</v>
      </c>
      <c r="C33" s="43">
        <v>1119</v>
      </c>
      <c r="D33" s="43">
        <v>120</v>
      </c>
      <c r="E33" s="339">
        <f t="shared" si="25"/>
        <v>33.57</v>
      </c>
      <c r="F33" s="100">
        <f t="shared" si="26"/>
        <v>33.340000000000003</v>
      </c>
      <c r="G33" s="24">
        <v>13</v>
      </c>
      <c r="H33" s="24">
        <v>80</v>
      </c>
      <c r="I33" s="72">
        <f t="shared" si="27"/>
        <v>369.23076923076923</v>
      </c>
      <c r="J33" s="101">
        <f t="shared" si="28"/>
        <v>2.953846153846154</v>
      </c>
      <c r="K33" s="340">
        <f t="shared" si="29"/>
        <v>8.7990650993331962E-2</v>
      </c>
      <c r="L33" s="41"/>
      <c r="M33" s="341">
        <f>I33/$I$33</f>
        <v>1</v>
      </c>
      <c r="N33" s="73"/>
      <c r="O33" s="43"/>
      <c r="P33" s="43"/>
      <c r="Z33" s="40">
        <v>100</v>
      </c>
      <c r="AA33" s="40">
        <f>Z33/400*600</f>
        <v>150</v>
      </c>
    </row>
    <row r="34" spans="1:27" x14ac:dyDescent="0.25">
      <c r="A34" s="128">
        <f t="shared" si="23"/>
        <v>500</v>
      </c>
      <c r="B34" s="128">
        <f t="shared" si="24"/>
        <v>600</v>
      </c>
      <c r="C34" s="43">
        <v>1457</v>
      </c>
      <c r="D34" s="43">
        <v>120</v>
      </c>
      <c r="E34" s="339">
        <f t="shared" si="25"/>
        <v>43.71</v>
      </c>
      <c r="F34" s="100">
        <f t="shared" si="26"/>
        <v>43.480000000000004</v>
      </c>
      <c r="G34" s="24">
        <v>14</v>
      </c>
      <c r="H34" s="24">
        <v>80</v>
      </c>
      <c r="I34" s="72">
        <f t="shared" si="27"/>
        <v>342.85714285714283</v>
      </c>
      <c r="J34" s="101">
        <f t="shared" si="28"/>
        <v>13.714285714285715</v>
      </c>
      <c r="K34" s="340">
        <f t="shared" si="29"/>
        <v>0.31375625061280521</v>
      </c>
      <c r="L34" s="41"/>
      <c r="M34" s="341">
        <f>I34/$I$33</f>
        <v>0.92857142857142849</v>
      </c>
      <c r="N34" s="73"/>
      <c r="O34" s="43"/>
      <c r="P34" s="43"/>
      <c r="Z34" s="40">
        <v>200</v>
      </c>
      <c r="AA34" s="40">
        <f>Z34/400*600</f>
        <v>300</v>
      </c>
    </row>
    <row r="35" spans="1:27" x14ac:dyDescent="0.25">
      <c r="A35" s="128">
        <f t="shared" si="23"/>
        <v>1000</v>
      </c>
      <c r="B35" s="128">
        <f t="shared" si="24"/>
        <v>600</v>
      </c>
      <c r="C35" s="43">
        <v>1960</v>
      </c>
      <c r="D35" s="43">
        <v>120</v>
      </c>
      <c r="E35" s="339">
        <f t="shared" si="25"/>
        <v>58.8</v>
      </c>
      <c r="F35" s="100">
        <f t="shared" si="26"/>
        <v>58.57</v>
      </c>
      <c r="G35" s="24">
        <v>15</v>
      </c>
      <c r="H35" s="24">
        <v>80</v>
      </c>
      <c r="I35" s="72">
        <f t="shared" si="27"/>
        <v>320</v>
      </c>
      <c r="J35" s="101">
        <f t="shared" si="28"/>
        <v>25.6</v>
      </c>
      <c r="K35" s="340">
        <f t="shared" si="29"/>
        <v>0.43537414965986398</v>
      </c>
      <c r="L35" s="41"/>
      <c r="M35" s="341">
        <f>I35/$I$33</f>
        <v>0.8666666666666667</v>
      </c>
      <c r="N35" s="73"/>
      <c r="O35" s="43"/>
      <c r="P35" s="43"/>
      <c r="Z35" s="40">
        <v>300</v>
      </c>
      <c r="AA35" s="40">
        <f>Z35/400*600</f>
        <v>450</v>
      </c>
    </row>
    <row r="36" spans="1:27" x14ac:dyDescent="0.25">
      <c r="A36" s="128">
        <f t="shared" si="23"/>
        <v>2000</v>
      </c>
      <c r="B36" s="128">
        <f t="shared" si="24"/>
        <v>600</v>
      </c>
      <c r="C36" s="43">
        <v>2769</v>
      </c>
      <c r="D36" s="43">
        <v>120</v>
      </c>
      <c r="E36" s="339">
        <f t="shared" si="25"/>
        <v>83.07</v>
      </c>
      <c r="F36" s="100">
        <f t="shared" si="26"/>
        <v>82.839999999999989</v>
      </c>
      <c r="G36" s="24">
        <v>19</v>
      </c>
      <c r="H36" s="24">
        <v>80</v>
      </c>
      <c r="I36" s="72">
        <f t="shared" si="27"/>
        <v>252.63157894736841</v>
      </c>
      <c r="J36" s="101">
        <f t="shared" si="28"/>
        <v>40.421052631578952</v>
      </c>
      <c r="K36" s="340">
        <f t="shared" si="29"/>
        <v>0.48659025679040513</v>
      </c>
      <c r="L36" s="41"/>
      <c r="M36" s="341">
        <f>I36/$I$33</f>
        <v>0.68421052631578949</v>
      </c>
      <c r="N36" s="73"/>
      <c r="O36" s="43"/>
      <c r="P36" s="43"/>
      <c r="Z36" s="40">
        <v>400</v>
      </c>
      <c r="AA36" s="40">
        <f>Z36/400*600</f>
        <v>600</v>
      </c>
    </row>
    <row r="37" spans="1:27" x14ac:dyDescent="0.25">
      <c r="A37" s="128">
        <f t="shared" si="23"/>
        <v>3000</v>
      </c>
      <c r="B37" s="128">
        <f t="shared" si="24"/>
        <v>600</v>
      </c>
      <c r="C37" s="43">
        <v>3215</v>
      </c>
      <c r="D37" s="43">
        <v>120</v>
      </c>
      <c r="E37" s="339">
        <f t="shared" si="25"/>
        <v>96.45</v>
      </c>
      <c r="F37" s="100">
        <f t="shared" si="26"/>
        <v>96.22</v>
      </c>
      <c r="G37" s="24">
        <v>23</v>
      </c>
      <c r="H37" s="24">
        <v>80</v>
      </c>
      <c r="I37" s="72">
        <f t="shared" si="27"/>
        <v>208.69565217391303</v>
      </c>
      <c r="J37" s="101">
        <f t="shared" si="28"/>
        <v>50.086956521739125</v>
      </c>
      <c r="K37" s="340">
        <f t="shared" si="29"/>
        <v>0.51930488876867931</v>
      </c>
      <c r="L37" s="41"/>
      <c r="M37" s="341">
        <f>I37/$I$33</f>
        <v>0.56521739130434778</v>
      </c>
      <c r="N37" s="73"/>
      <c r="O37" s="43"/>
      <c r="P37" s="43"/>
    </row>
    <row r="38" spans="1:27" x14ac:dyDescent="0.25">
      <c r="A38" s="128"/>
      <c r="B38" s="128"/>
      <c r="C38" s="43"/>
      <c r="D38" s="43"/>
      <c r="E38" s="343"/>
      <c r="F38" s="100"/>
      <c r="G38" s="24"/>
      <c r="H38" s="24"/>
      <c r="I38" s="72"/>
      <c r="J38" s="101"/>
      <c r="K38" s="41"/>
      <c r="L38" s="41"/>
      <c r="M38" s="341"/>
      <c r="N38" s="73"/>
      <c r="O38" s="43"/>
      <c r="P38" s="43"/>
    </row>
    <row r="39" spans="1:27" x14ac:dyDescent="0.25">
      <c r="A39" s="128">
        <f t="shared" ref="A39:A44" si="30">Q3</f>
        <v>0</v>
      </c>
      <c r="B39" s="128">
        <f t="shared" ref="B39:B44" si="31">P$7</f>
        <v>800</v>
      </c>
      <c r="C39" s="43">
        <v>1161</v>
      </c>
      <c r="D39" s="43">
        <v>120</v>
      </c>
      <c r="E39" s="339">
        <f t="shared" ref="E39:E44" si="32">C39/1000*3600/D39</f>
        <v>34.830000000000005</v>
      </c>
      <c r="F39" s="100">
        <f t="shared" ref="F39:F44" si="33">E39-$J$7</f>
        <v>34.600000000000009</v>
      </c>
      <c r="G39" s="24">
        <v>9.1999999999999993</v>
      </c>
      <c r="H39" s="24">
        <v>80</v>
      </c>
      <c r="I39" s="72">
        <f t="shared" ref="I39:I44" si="34">60*H39/G39</f>
        <v>521.73913043478262</v>
      </c>
      <c r="J39" s="101">
        <f t="shared" ref="J39:J44" si="35">I39/100*A39/100*0.8</f>
        <v>0</v>
      </c>
      <c r="K39" s="340">
        <f t="shared" ref="K39:K44" si="36">J39/E39</f>
        <v>0</v>
      </c>
      <c r="L39" s="41"/>
      <c r="M39" s="341"/>
      <c r="N39" s="73"/>
      <c r="O39" s="43"/>
      <c r="P39" s="43"/>
      <c r="Q39" s="69"/>
      <c r="R39" s="70"/>
      <c r="S39" s="70"/>
    </row>
    <row r="40" spans="1:27" x14ac:dyDescent="0.25">
      <c r="A40" s="128">
        <f t="shared" si="30"/>
        <v>100</v>
      </c>
      <c r="B40" s="128">
        <f t="shared" si="31"/>
        <v>800</v>
      </c>
      <c r="C40" s="43">
        <v>1420</v>
      </c>
      <c r="D40" s="43">
        <v>120</v>
      </c>
      <c r="E40" s="339">
        <f t="shared" si="32"/>
        <v>42.6</v>
      </c>
      <c r="F40" s="100">
        <f t="shared" si="33"/>
        <v>42.370000000000005</v>
      </c>
      <c r="G40" s="24">
        <v>9.5</v>
      </c>
      <c r="H40" s="24">
        <v>80</v>
      </c>
      <c r="I40" s="72">
        <f t="shared" si="34"/>
        <v>505.26315789473682</v>
      </c>
      <c r="J40" s="101">
        <f t="shared" si="35"/>
        <v>4.0421052631578949</v>
      </c>
      <c r="K40" s="340">
        <f t="shared" si="36"/>
        <v>9.4885100074128981E-2</v>
      </c>
      <c r="L40" s="41"/>
      <c r="M40" s="341">
        <f>I40/$I$40</f>
        <v>1</v>
      </c>
      <c r="N40" s="73"/>
      <c r="O40" s="43"/>
      <c r="P40" s="43"/>
      <c r="Z40" s="40">
        <v>100</v>
      </c>
      <c r="AA40" s="40">
        <f>Z40/400*600</f>
        <v>150</v>
      </c>
    </row>
    <row r="41" spans="1:27" x14ac:dyDescent="0.25">
      <c r="A41" s="128">
        <f t="shared" si="30"/>
        <v>500</v>
      </c>
      <c r="B41" s="128">
        <f t="shared" si="31"/>
        <v>800</v>
      </c>
      <c r="C41" s="43">
        <v>1877</v>
      </c>
      <c r="D41" s="43">
        <v>120</v>
      </c>
      <c r="E41" s="339">
        <f t="shared" si="32"/>
        <v>56.309999999999995</v>
      </c>
      <c r="F41" s="100">
        <f t="shared" si="33"/>
        <v>56.08</v>
      </c>
      <c r="G41" s="24">
        <v>10</v>
      </c>
      <c r="H41" s="24">
        <v>80</v>
      </c>
      <c r="I41" s="72">
        <f t="shared" si="34"/>
        <v>480</v>
      </c>
      <c r="J41" s="101">
        <f t="shared" si="35"/>
        <v>19.200000000000003</v>
      </c>
      <c r="K41" s="340">
        <f t="shared" si="36"/>
        <v>0.34096963239211514</v>
      </c>
      <c r="L41" s="41"/>
      <c r="M41" s="341">
        <f>I41/$I$40</f>
        <v>0.95000000000000007</v>
      </c>
      <c r="N41" s="73"/>
      <c r="O41" s="43"/>
      <c r="P41" s="43"/>
      <c r="Z41" s="40">
        <v>200</v>
      </c>
      <c r="AA41" s="40">
        <f>Z41/400*600</f>
        <v>300</v>
      </c>
    </row>
    <row r="42" spans="1:27" x14ac:dyDescent="0.25">
      <c r="A42" s="128">
        <f t="shared" si="30"/>
        <v>1000</v>
      </c>
      <c r="B42" s="128">
        <f t="shared" si="31"/>
        <v>800</v>
      </c>
      <c r="C42" s="43">
        <v>2516</v>
      </c>
      <c r="D42" s="43">
        <v>120</v>
      </c>
      <c r="E42" s="339">
        <f t="shared" si="32"/>
        <v>75.48</v>
      </c>
      <c r="F42" s="100">
        <f t="shared" si="33"/>
        <v>75.25</v>
      </c>
      <c r="G42" s="24">
        <v>11</v>
      </c>
      <c r="H42" s="24">
        <v>80</v>
      </c>
      <c r="I42" s="72">
        <f t="shared" si="34"/>
        <v>436.36363636363637</v>
      </c>
      <c r="J42" s="101">
        <f t="shared" si="35"/>
        <v>34.909090909090907</v>
      </c>
      <c r="K42" s="340">
        <f t="shared" si="36"/>
        <v>0.46249458014163891</v>
      </c>
      <c r="L42" s="41"/>
      <c r="M42" s="341">
        <f>I42/$I$40</f>
        <v>0.86363636363636365</v>
      </c>
      <c r="N42" s="73"/>
      <c r="O42" s="43"/>
      <c r="P42" s="43"/>
      <c r="Z42" s="40">
        <v>300</v>
      </c>
      <c r="AA42" s="40">
        <f>Z42/400*600</f>
        <v>450</v>
      </c>
    </row>
    <row r="43" spans="1:27" x14ac:dyDescent="0.25">
      <c r="A43" s="128">
        <f t="shared" si="30"/>
        <v>2000</v>
      </c>
      <c r="B43" s="128">
        <f t="shared" si="31"/>
        <v>800</v>
      </c>
      <c r="C43" s="43">
        <v>3466</v>
      </c>
      <c r="D43" s="43">
        <v>120</v>
      </c>
      <c r="E43" s="339">
        <f t="shared" si="32"/>
        <v>103.98</v>
      </c>
      <c r="F43" s="100">
        <f t="shared" si="33"/>
        <v>103.75</v>
      </c>
      <c r="G43" s="24">
        <v>14</v>
      </c>
      <c r="H43" s="24">
        <v>80</v>
      </c>
      <c r="I43" s="72">
        <f t="shared" si="34"/>
        <v>342.85714285714283</v>
      </c>
      <c r="J43" s="101">
        <f t="shared" si="35"/>
        <v>54.857142857142861</v>
      </c>
      <c r="K43" s="340">
        <f t="shared" si="36"/>
        <v>0.52757398400791367</v>
      </c>
      <c r="L43" s="41"/>
      <c r="M43" s="341">
        <f>I43/$I$40</f>
        <v>0.6785714285714286</v>
      </c>
      <c r="N43" s="73"/>
      <c r="O43" s="43"/>
      <c r="P43" s="43"/>
      <c r="Z43" s="40">
        <v>400</v>
      </c>
      <c r="AA43" s="40">
        <f>Z43/400*600</f>
        <v>600</v>
      </c>
    </row>
    <row r="44" spans="1:27" x14ac:dyDescent="0.25">
      <c r="A44" s="128">
        <f t="shared" si="30"/>
        <v>3000</v>
      </c>
      <c r="B44" s="128">
        <f t="shared" si="31"/>
        <v>800</v>
      </c>
      <c r="C44" s="43">
        <v>3951</v>
      </c>
      <c r="D44" s="43">
        <v>120</v>
      </c>
      <c r="E44" s="339">
        <f t="shared" si="32"/>
        <v>118.53</v>
      </c>
      <c r="F44" s="100">
        <f t="shared" si="33"/>
        <v>118.3</v>
      </c>
      <c r="G44" s="24">
        <v>18</v>
      </c>
      <c r="H44" s="24">
        <v>80</v>
      </c>
      <c r="I44" s="72">
        <f t="shared" si="34"/>
        <v>266.66666666666669</v>
      </c>
      <c r="J44" s="101">
        <f t="shared" si="35"/>
        <v>64.000000000000014</v>
      </c>
      <c r="K44" s="340">
        <f t="shared" si="36"/>
        <v>0.5399476925672827</v>
      </c>
      <c r="L44" s="41"/>
      <c r="M44" s="341">
        <f>I44/$I$40</f>
        <v>0.52777777777777779</v>
      </c>
      <c r="N44" s="73"/>
      <c r="O44" s="43"/>
      <c r="P44" s="43"/>
    </row>
    <row r="45" spans="1:27" x14ac:dyDescent="0.25">
      <c r="A45" s="74"/>
      <c r="B45" s="128"/>
      <c r="C45" s="43"/>
      <c r="D45" s="43"/>
      <c r="E45" s="343"/>
      <c r="F45" s="100"/>
      <c r="G45" s="24"/>
      <c r="H45" s="24"/>
      <c r="I45" s="72"/>
      <c r="J45" s="101"/>
      <c r="K45" s="41"/>
      <c r="L45" s="41"/>
      <c r="M45" s="341"/>
      <c r="N45" s="73"/>
      <c r="O45" s="43"/>
      <c r="P45" s="43"/>
    </row>
    <row r="46" spans="1:27" x14ac:dyDescent="0.25">
      <c r="A46" s="128">
        <f t="shared" ref="A46:A51" si="37">Q3</f>
        <v>0</v>
      </c>
      <c r="B46" s="128">
        <f t="shared" ref="B46:B51" si="38">P$8</f>
        <v>1000</v>
      </c>
      <c r="C46" s="43">
        <v>705</v>
      </c>
      <c r="D46" s="43">
        <v>60</v>
      </c>
      <c r="E46" s="339">
        <f t="shared" ref="E46:E51" si="39">C46/1000*3600/D46</f>
        <v>42.3</v>
      </c>
      <c r="F46" s="100">
        <f t="shared" ref="F46:F51" si="40">E46-$J$7</f>
        <v>42.07</v>
      </c>
      <c r="G46" s="24">
        <v>7.7</v>
      </c>
      <c r="H46" s="24">
        <v>80</v>
      </c>
      <c r="I46" s="72">
        <f t="shared" ref="I46:I51" si="41">60*H46/G46</f>
        <v>623.37662337662334</v>
      </c>
      <c r="J46" s="101">
        <f t="shared" ref="J46:J51" si="42">I46/100*A46/100*0.8</f>
        <v>0</v>
      </c>
      <c r="K46" s="340">
        <f t="shared" ref="K46:K51" si="43">J46/E46</f>
        <v>0</v>
      </c>
      <c r="L46" s="41"/>
      <c r="M46" s="341"/>
      <c r="N46" s="73"/>
      <c r="O46" s="43"/>
      <c r="P46" s="43"/>
      <c r="Q46" s="69"/>
      <c r="R46" s="70"/>
      <c r="S46" s="70"/>
    </row>
    <row r="47" spans="1:27" x14ac:dyDescent="0.25">
      <c r="A47" s="128">
        <f t="shared" si="37"/>
        <v>100</v>
      </c>
      <c r="B47" s="128">
        <f t="shared" si="38"/>
        <v>1000</v>
      </c>
      <c r="C47" s="43">
        <v>872</v>
      </c>
      <c r="D47" s="43">
        <v>60</v>
      </c>
      <c r="E47" s="339">
        <f t="shared" si="39"/>
        <v>52.32</v>
      </c>
      <c r="F47" s="100">
        <f t="shared" si="40"/>
        <v>52.09</v>
      </c>
      <c r="G47" s="24">
        <v>8</v>
      </c>
      <c r="H47" s="24">
        <v>80</v>
      </c>
      <c r="I47" s="72">
        <f t="shared" si="41"/>
        <v>600</v>
      </c>
      <c r="J47" s="101">
        <f t="shared" si="42"/>
        <v>4.8000000000000007</v>
      </c>
      <c r="K47" s="340">
        <f t="shared" si="43"/>
        <v>9.1743119266055065E-2</v>
      </c>
      <c r="L47" s="41"/>
      <c r="M47" s="341">
        <f>I47/$I$47</f>
        <v>1</v>
      </c>
      <c r="N47" s="73"/>
      <c r="O47" s="43"/>
      <c r="P47" s="43"/>
      <c r="Z47" s="40">
        <v>100</v>
      </c>
      <c r="AA47" s="40">
        <f>Z47/400*600</f>
        <v>150</v>
      </c>
    </row>
    <row r="48" spans="1:27" x14ac:dyDescent="0.25">
      <c r="A48" s="128">
        <f t="shared" si="37"/>
        <v>500</v>
      </c>
      <c r="B48" s="128">
        <f t="shared" si="38"/>
        <v>1000</v>
      </c>
      <c r="C48" s="43">
        <v>1150</v>
      </c>
      <c r="D48" s="43">
        <v>60</v>
      </c>
      <c r="E48" s="339">
        <f t="shared" si="39"/>
        <v>69</v>
      </c>
      <c r="F48" s="100">
        <f t="shared" si="40"/>
        <v>68.77</v>
      </c>
      <c r="G48" s="24">
        <v>8.5</v>
      </c>
      <c r="H48" s="24">
        <v>80</v>
      </c>
      <c r="I48" s="72">
        <f t="shared" si="41"/>
        <v>564.70588235294122</v>
      </c>
      <c r="J48" s="101">
        <f t="shared" si="42"/>
        <v>22.588235294117649</v>
      </c>
      <c r="K48" s="340">
        <f t="shared" si="43"/>
        <v>0.32736572890025578</v>
      </c>
      <c r="L48" s="41"/>
      <c r="M48" s="341">
        <f>I48/$I$47</f>
        <v>0.94117647058823539</v>
      </c>
      <c r="N48" s="73"/>
      <c r="O48" s="43"/>
      <c r="P48" s="43"/>
      <c r="Z48" s="40">
        <v>200</v>
      </c>
      <c r="AA48" s="40">
        <f>Z48/400*600</f>
        <v>300</v>
      </c>
    </row>
    <row r="49" spans="1:27" x14ac:dyDescent="0.25">
      <c r="A49" s="128">
        <f t="shared" si="37"/>
        <v>1000</v>
      </c>
      <c r="B49" s="128">
        <f t="shared" si="38"/>
        <v>1000</v>
      </c>
      <c r="C49" s="43">
        <v>1541</v>
      </c>
      <c r="D49" s="43">
        <v>60</v>
      </c>
      <c r="E49" s="339">
        <f t="shared" si="39"/>
        <v>92.46</v>
      </c>
      <c r="F49" s="100">
        <f t="shared" si="40"/>
        <v>92.22999999999999</v>
      </c>
      <c r="G49" s="24">
        <v>9</v>
      </c>
      <c r="H49" s="24">
        <v>80</v>
      </c>
      <c r="I49" s="72">
        <f t="shared" si="41"/>
        <v>533.33333333333337</v>
      </c>
      <c r="J49" s="101">
        <f t="shared" si="42"/>
        <v>42.666666666666679</v>
      </c>
      <c r="K49" s="340">
        <f t="shared" si="43"/>
        <v>0.46146081188261606</v>
      </c>
      <c r="L49" s="41"/>
      <c r="M49" s="341">
        <f>I49/$I$47</f>
        <v>0.88888888888888895</v>
      </c>
      <c r="N49" s="73"/>
      <c r="O49" s="43"/>
      <c r="P49" s="43"/>
      <c r="Z49" s="40">
        <v>300</v>
      </c>
      <c r="AA49" s="40">
        <f>Z49/400*600</f>
        <v>450</v>
      </c>
    </row>
    <row r="50" spans="1:27" x14ac:dyDescent="0.25">
      <c r="A50" s="128">
        <f t="shared" si="37"/>
        <v>2000</v>
      </c>
      <c r="B50" s="128">
        <f t="shared" si="38"/>
        <v>1000</v>
      </c>
      <c r="C50" s="43">
        <v>2110</v>
      </c>
      <c r="D50" s="43">
        <v>60</v>
      </c>
      <c r="E50" s="339">
        <f t="shared" si="39"/>
        <v>126.6</v>
      </c>
      <c r="F50" s="100">
        <f t="shared" si="40"/>
        <v>126.36999999999999</v>
      </c>
      <c r="G50" s="24">
        <v>11</v>
      </c>
      <c r="H50" s="24">
        <v>80</v>
      </c>
      <c r="I50" s="72">
        <f t="shared" si="41"/>
        <v>436.36363636363637</v>
      </c>
      <c r="J50" s="101">
        <f t="shared" si="42"/>
        <v>69.818181818181813</v>
      </c>
      <c r="K50" s="340">
        <f t="shared" si="43"/>
        <v>0.55148642826367944</v>
      </c>
      <c r="L50" s="41"/>
      <c r="M50" s="341">
        <f>I50/$I$47</f>
        <v>0.72727272727272729</v>
      </c>
      <c r="N50" s="73"/>
      <c r="O50" s="43"/>
      <c r="P50" s="43"/>
      <c r="Z50" s="40">
        <v>400</v>
      </c>
      <c r="AA50" s="40">
        <f>Z50/400*600</f>
        <v>600</v>
      </c>
    </row>
    <row r="51" spans="1:27" x14ac:dyDescent="0.25">
      <c r="A51" s="128">
        <f t="shared" si="37"/>
        <v>3000</v>
      </c>
      <c r="B51" s="128">
        <f t="shared" si="38"/>
        <v>1000</v>
      </c>
      <c r="C51" s="43">
        <v>2432</v>
      </c>
      <c r="D51" s="43">
        <v>60</v>
      </c>
      <c r="E51" s="339">
        <f t="shared" si="39"/>
        <v>145.91999999999999</v>
      </c>
      <c r="F51" s="100">
        <f t="shared" si="40"/>
        <v>145.69</v>
      </c>
      <c r="G51" s="24">
        <v>14</v>
      </c>
      <c r="H51" s="24">
        <v>80</v>
      </c>
      <c r="I51" s="72">
        <f t="shared" si="41"/>
        <v>342.85714285714283</v>
      </c>
      <c r="J51" s="101">
        <f t="shared" si="42"/>
        <v>82.285714285714278</v>
      </c>
      <c r="K51" s="340">
        <f t="shared" si="43"/>
        <v>0.56390977443609025</v>
      </c>
      <c r="L51" s="41"/>
      <c r="M51" s="341">
        <f>I51/$I$47</f>
        <v>0.5714285714285714</v>
      </c>
      <c r="N51" s="73"/>
      <c r="O51" s="43"/>
      <c r="P51" s="43"/>
    </row>
    <row r="52" spans="1:27" x14ac:dyDescent="0.25">
      <c r="A52" s="43"/>
      <c r="B52" s="128"/>
      <c r="C52" s="41"/>
      <c r="D52" s="41"/>
      <c r="E52" s="41"/>
      <c r="F52" s="75"/>
      <c r="G52" s="41"/>
      <c r="H52" s="43"/>
      <c r="I52" s="76"/>
      <c r="J52" s="71"/>
      <c r="K52" s="41"/>
      <c r="L52" s="41"/>
      <c r="M52" s="341"/>
      <c r="N52" s="73"/>
      <c r="O52" s="43"/>
      <c r="P52" s="43"/>
    </row>
    <row r="53" spans="1:27" x14ac:dyDescent="0.25">
      <c r="A53" s="43"/>
      <c r="B53" s="74"/>
      <c r="C53" s="41"/>
      <c r="D53" s="41"/>
      <c r="E53" s="41"/>
      <c r="F53" s="41"/>
      <c r="G53" s="41"/>
      <c r="H53" s="43"/>
      <c r="I53" s="76"/>
      <c r="J53" s="71"/>
      <c r="K53" s="41"/>
      <c r="L53" s="41"/>
      <c r="M53" s="341"/>
      <c r="N53" s="73"/>
      <c r="O53" s="43"/>
      <c r="P53" s="43"/>
    </row>
    <row r="54" spans="1:27" x14ac:dyDescent="0.25">
      <c r="A54" s="43"/>
      <c r="B54" s="128"/>
      <c r="C54" s="41"/>
      <c r="D54" s="41"/>
      <c r="E54" s="41"/>
      <c r="F54" s="41"/>
      <c r="G54" s="41"/>
      <c r="H54" s="43"/>
      <c r="I54" s="76"/>
      <c r="J54" s="71"/>
      <c r="K54" s="41"/>
      <c r="L54" s="41"/>
      <c r="M54" s="341"/>
      <c r="N54" s="73"/>
      <c r="O54" s="43"/>
      <c r="P54" s="43"/>
    </row>
    <row r="55" spans="1:27" x14ac:dyDescent="0.25">
      <c r="A55" s="47"/>
      <c r="B55" s="128"/>
      <c r="C55" s="41"/>
      <c r="D55" s="41"/>
      <c r="E55" s="41"/>
      <c r="F55" s="41"/>
      <c r="G55" s="41"/>
      <c r="H55" s="43"/>
      <c r="I55" s="76"/>
      <c r="J55" s="71"/>
      <c r="K55" s="41"/>
      <c r="L55" s="41"/>
      <c r="M55" s="341"/>
      <c r="N55" s="73"/>
      <c r="O55" s="43"/>
      <c r="P55" s="43"/>
    </row>
    <row r="56" spans="1:27" x14ac:dyDescent="0.25">
      <c r="A56" s="71"/>
      <c r="B56" s="74"/>
      <c r="C56" s="41"/>
      <c r="D56" s="41"/>
      <c r="E56" s="41"/>
      <c r="F56" s="41"/>
      <c r="G56" s="41"/>
      <c r="H56" s="43"/>
      <c r="I56" s="76"/>
      <c r="J56" s="71"/>
      <c r="K56" s="41"/>
      <c r="L56" s="41"/>
      <c r="M56" s="341"/>
      <c r="N56" s="73"/>
      <c r="O56" s="43"/>
      <c r="P56" s="43"/>
    </row>
    <row r="57" spans="1:27" x14ac:dyDescent="0.25">
      <c r="A57" s="47"/>
      <c r="B57" s="128"/>
      <c r="C57" s="41"/>
      <c r="D57" s="41"/>
      <c r="E57" s="41"/>
      <c r="F57" s="41"/>
      <c r="G57" s="41"/>
      <c r="H57" s="43"/>
      <c r="I57" s="43"/>
      <c r="J57" s="47"/>
      <c r="K57" s="41"/>
      <c r="L57" s="41"/>
      <c r="M57" s="341"/>
      <c r="N57" s="73"/>
      <c r="O57" s="43"/>
      <c r="P57" s="43"/>
    </row>
    <row r="58" spans="1:27" x14ac:dyDescent="0.25">
      <c r="A58" s="47"/>
      <c r="B58" s="128"/>
      <c r="C58" s="41"/>
      <c r="D58" s="41"/>
      <c r="E58" s="41"/>
      <c r="F58" s="41"/>
      <c r="G58" s="340"/>
      <c r="H58" s="43"/>
      <c r="I58" s="43"/>
      <c r="J58" s="47"/>
      <c r="K58" s="41"/>
      <c r="L58" s="41"/>
      <c r="M58" s="341"/>
      <c r="N58" s="73"/>
      <c r="O58" s="43"/>
      <c r="P58" s="43"/>
    </row>
    <row r="59" spans="1:27" x14ac:dyDescent="0.25">
      <c r="A59" s="47"/>
      <c r="B59" s="128"/>
      <c r="C59" s="41"/>
      <c r="D59" s="41"/>
      <c r="E59" s="41"/>
      <c r="F59" s="41"/>
      <c r="G59" s="41"/>
      <c r="H59" s="43"/>
      <c r="I59" s="43"/>
      <c r="J59" s="47"/>
      <c r="K59" s="41"/>
      <c r="L59" s="41"/>
      <c r="M59" s="341"/>
      <c r="N59" s="73"/>
      <c r="O59" s="43"/>
      <c r="P59" s="43"/>
    </row>
    <row r="60" spans="1:27" x14ac:dyDescent="0.25">
      <c r="A60" s="47"/>
      <c r="B60" s="128"/>
      <c r="C60" s="41"/>
      <c r="D60" s="41"/>
      <c r="E60" s="41"/>
      <c r="F60" s="41"/>
      <c r="G60" s="41"/>
      <c r="H60" s="43"/>
      <c r="I60" s="43"/>
      <c r="J60" s="47"/>
      <c r="K60" s="41"/>
      <c r="L60" s="41"/>
      <c r="M60" s="341"/>
      <c r="N60" s="73"/>
      <c r="O60" s="43"/>
      <c r="P60" s="43"/>
    </row>
    <row r="61" spans="1:27" x14ac:dyDescent="0.25">
      <c r="A61" s="47"/>
      <c r="B61" s="128"/>
      <c r="C61" s="41"/>
      <c r="D61" s="41"/>
      <c r="E61" s="41"/>
      <c r="F61" s="41"/>
      <c r="G61" s="41"/>
      <c r="H61" s="43"/>
      <c r="I61" s="43"/>
      <c r="J61" s="47"/>
      <c r="K61" s="41"/>
      <c r="L61" s="41"/>
      <c r="M61" s="341"/>
      <c r="N61" s="73"/>
      <c r="O61" s="43"/>
      <c r="P61" s="43"/>
    </row>
    <row r="63" spans="1:27" x14ac:dyDescent="0.25">
      <c r="L63" s="80" t="s">
        <v>18</v>
      </c>
      <c r="M63" s="332"/>
      <c r="N63" s="335" t="s">
        <v>345</v>
      </c>
    </row>
    <row r="64" spans="1:27" x14ac:dyDescent="0.25">
      <c r="K64" s="79" t="s">
        <v>205</v>
      </c>
      <c r="L64" s="81">
        <f>B11</f>
        <v>100</v>
      </c>
      <c r="M64" s="80">
        <f>B18</f>
        <v>200</v>
      </c>
      <c r="N64" s="80">
        <f>B25</f>
        <v>400</v>
      </c>
      <c r="O64" s="80">
        <f>B32</f>
        <v>600</v>
      </c>
      <c r="P64" s="80">
        <f>B39</f>
        <v>800</v>
      </c>
      <c r="Q64" s="80">
        <f>B46</f>
        <v>1000</v>
      </c>
    </row>
    <row r="65" spans="1:18" x14ac:dyDescent="0.25">
      <c r="K65" s="82">
        <f t="shared" ref="K65:K70" si="44">Q3</f>
        <v>0</v>
      </c>
      <c r="L65" s="344">
        <f t="shared" ref="L65:L70" si="45">P11</f>
        <v>62</v>
      </c>
      <c r="M65" s="93">
        <f t="shared" ref="M65:M70" si="46">P18</f>
        <v>123.07692307692307</v>
      </c>
      <c r="N65" s="93">
        <f t="shared" ref="N65:N70" si="47">I25</f>
        <v>252.63157894736841</v>
      </c>
      <c r="O65" s="93">
        <f t="shared" ref="O65:O70" si="48">I32</f>
        <v>384</v>
      </c>
      <c r="P65" s="93">
        <f t="shared" ref="P65:P70" si="49">I39</f>
        <v>521.73913043478262</v>
      </c>
      <c r="Q65" s="93">
        <f t="shared" ref="Q65:Q70" si="50">I46</f>
        <v>623.37662337662334</v>
      </c>
    </row>
    <row r="66" spans="1:18" x14ac:dyDescent="0.25">
      <c r="K66" s="82">
        <f t="shared" si="44"/>
        <v>100</v>
      </c>
      <c r="L66" s="344">
        <f t="shared" si="45"/>
        <v>57</v>
      </c>
      <c r="M66" s="93">
        <f t="shared" si="46"/>
        <v>114.28571428571428</v>
      </c>
      <c r="N66" s="93">
        <f t="shared" si="47"/>
        <v>240</v>
      </c>
      <c r="O66" s="93">
        <f t="shared" si="48"/>
        <v>369.23076923076923</v>
      </c>
      <c r="P66" s="93">
        <f t="shared" si="49"/>
        <v>505.26315789473682</v>
      </c>
      <c r="Q66" s="93">
        <f t="shared" si="50"/>
        <v>600</v>
      </c>
    </row>
    <row r="67" spans="1:18" x14ac:dyDescent="0.25">
      <c r="K67" s="82">
        <f t="shared" si="44"/>
        <v>500</v>
      </c>
      <c r="L67" s="344">
        <f t="shared" si="45"/>
        <v>53</v>
      </c>
      <c r="M67" s="93">
        <f t="shared" si="46"/>
        <v>106.66666666666666</v>
      </c>
      <c r="N67" s="93">
        <f t="shared" si="47"/>
        <v>228.57142857142858</v>
      </c>
      <c r="O67" s="93">
        <f t="shared" si="48"/>
        <v>342.85714285714283</v>
      </c>
      <c r="P67" s="93">
        <f t="shared" si="49"/>
        <v>480</v>
      </c>
      <c r="Q67" s="93">
        <f t="shared" si="50"/>
        <v>564.70588235294122</v>
      </c>
    </row>
    <row r="68" spans="1:18" x14ac:dyDescent="0.25">
      <c r="K68" s="82">
        <f t="shared" si="44"/>
        <v>1000</v>
      </c>
      <c r="L68" s="344">
        <f t="shared" si="45"/>
        <v>49</v>
      </c>
      <c r="M68" s="93">
        <f t="shared" si="46"/>
        <v>100</v>
      </c>
      <c r="N68" s="93">
        <f t="shared" si="47"/>
        <v>218.18181818181819</v>
      </c>
      <c r="O68" s="93">
        <f t="shared" si="48"/>
        <v>320</v>
      </c>
      <c r="P68" s="93">
        <f t="shared" si="49"/>
        <v>436.36363636363637</v>
      </c>
      <c r="Q68" s="93">
        <f t="shared" si="50"/>
        <v>533.33333333333337</v>
      </c>
    </row>
    <row r="69" spans="1:18" x14ac:dyDescent="0.25">
      <c r="K69" s="82">
        <f t="shared" si="44"/>
        <v>2000</v>
      </c>
      <c r="L69" s="344">
        <f t="shared" si="45"/>
        <v>41</v>
      </c>
      <c r="M69" s="93">
        <f t="shared" si="46"/>
        <v>84.210526315789465</v>
      </c>
      <c r="N69" s="93">
        <f t="shared" si="47"/>
        <v>171.42857142857142</v>
      </c>
      <c r="O69" s="93">
        <f t="shared" si="48"/>
        <v>252.63157894736841</v>
      </c>
      <c r="P69" s="93">
        <f t="shared" si="49"/>
        <v>342.85714285714283</v>
      </c>
      <c r="Q69" s="93">
        <f t="shared" si="50"/>
        <v>436.36363636363637</v>
      </c>
    </row>
    <row r="70" spans="1:18" x14ac:dyDescent="0.25">
      <c r="K70" s="82">
        <f t="shared" si="44"/>
        <v>3000</v>
      </c>
      <c r="L70" s="344">
        <f t="shared" si="45"/>
        <v>33</v>
      </c>
      <c r="M70" s="93">
        <f t="shared" si="46"/>
        <v>80</v>
      </c>
      <c r="N70" s="93">
        <f t="shared" si="47"/>
        <v>129.72972972972974</v>
      </c>
      <c r="O70" s="93">
        <f t="shared" si="48"/>
        <v>208.69565217391303</v>
      </c>
      <c r="P70" s="93">
        <f t="shared" si="49"/>
        <v>266.66666666666669</v>
      </c>
      <c r="Q70" s="93">
        <f t="shared" si="50"/>
        <v>342.85714285714283</v>
      </c>
    </row>
    <row r="71" spans="1:18" x14ac:dyDescent="0.25">
      <c r="K71" s="83"/>
      <c r="M71" s="332"/>
    </row>
    <row r="72" spans="1:18" x14ac:dyDescent="0.25">
      <c r="K72" s="335">
        <f>B80</f>
        <v>40</v>
      </c>
      <c r="L72" s="40">
        <f t="shared" ref="L72:Q72" si="51">_xlfn.FORECAST.LINEAR($B$80,L65:L70,$K$65:$K$70)</f>
        <v>58.600666666666662</v>
      </c>
      <c r="M72" s="40">
        <f t="shared" si="51"/>
        <v>115.89240610684219</v>
      </c>
      <c r="N72" s="40">
        <f t="shared" si="51"/>
        <v>248.56412917164798</v>
      </c>
      <c r="O72" s="40">
        <f t="shared" si="51"/>
        <v>374.29997936072857</v>
      </c>
      <c r="P72" s="40">
        <f t="shared" si="51"/>
        <v>515.66861350628585</v>
      </c>
      <c r="Q72" s="40">
        <f t="shared" si="51"/>
        <v>612.73537293705363</v>
      </c>
      <c r="R72" s="335" t="s">
        <v>28</v>
      </c>
    </row>
    <row r="73" spans="1:18" x14ac:dyDescent="0.25">
      <c r="J73" s="335" t="s">
        <v>28</v>
      </c>
      <c r="K73" s="94">
        <f>B79</f>
        <v>100</v>
      </c>
      <c r="L73" s="95">
        <f>_xlfn.FORECAST.LINEAR(K73,L64:Q64,L72:Q72)</f>
        <v>166.67952788795341</v>
      </c>
      <c r="M73" s="332" t="s">
        <v>18</v>
      </c>
    </row>
    <row r="77" spans="1:18" x14ac:dyDescent="0.25">
      <c r="A77" s="49" t="s">
        <v>346</v>
      </c>
      <c r="B77" s="77">
        <v>1670</v>
      </c>
      <c r="C77" s="40" t="s">
        <v>28</v>
      </c>
      <c r="M77" s="332"/>
    </row>
    <row r="78" spans="1:18" x14ac:dyDescent="0.25">
      <c r="B78" s="77">
        <v>1000</v>
      </c>
      <c r="C78" s="40" t="s">
        <v>18</v>
      </c>
      <c r="M78" s="332"/>
    </row>
    <row r="79" spans="1:18" x14ac:dyDescent="0.25">
      <c r="A79" s="40" t="s">
        <v>349</v>
      </c>
      <c r="B79" s="78">
        <f>Q</f>
        <v>100</v>
      </c>
      <c r="C79" s="40" t="s">
        <v>28</v>
      </c>
      <c r="M79" s="332"/>
    </row>
    <row r="80" spans="1:18" x14ac:dyDescent="0.25">
      <c r="A80" s="40" t="s">
        <v>350</v>
      </c>
      <c r="B80" s="78">
        <f>Pavg</f>
        <v>40</v>
      </c>
      <c r="C80" s="40">
        <v>1000</v>
      </c>
      <c r="D80" s="40" t="s">
        <v>351</v>
      </c>
      <c r="M80" s="332"/>
    </row>
    <row r="81" spans="1:16" x14ac:dyDescent="0.25">
      <c r="A81" s="40" t="s">
        <v>352</v>
      </c>
      <c r="B81" s="77">
        <v>0</v>
      </c>
      <c r="C81" s="40" t="s">
        <v>353</v>
      </c>
      <c r="E81" s="40" t="s">
        <v>354</v>
      </c>
      <c r="M81" s="332"/>
    </row>
    <row r="82" spans="1:16" x14ac:dyDescent="0.25">
      <c r="A82" s="40" t="s">
        <v>355</v>
      </c>
      <c r="B82" s="77">
        <f>L73</f>
        <v>166.67952788795341</v>
      </c>
      <c r="M82" s="345">
        <v>100</v>
      </c>
      <c r="N82" s="346"/>
      <c r="O82" s="40">
        <v>200</v>
      </c>
    </row>
    <row r="83" spans="1:16" x14ac:dyDescent="0.25">
      <c r="A83" s="40" t="s">
        <v>356</v>
      </c>
      <c r="B83" s="77">
        <f>(1+(B80/C80*B81))*B82</f>
        <v>166.67952788795341</v>
      </c>
      <c r="M83" s="332" t="s">
        <v>347</v>
      </c>
      <c r="N83" s="335" t="s">
        <v>348</v>
      </c>
      <c r="O83" s="335" t="s">
        <v>347</v>
      </c>
      <c r="P83" s="335" t="s">
        <v>348</v>
      </c>
    </row>
    <row r="84" spans="1:16" x14ac:dyDescent="0.25">
      <c r="A84" s="40" t="s">
        <v>357</v>
      </c>
      <c r="M84" s="346">
        <f t="shared" ref="M84:M89" si="52">C87</f>
        <v>7.9699999999999989</v>
      </c>
      <c r="N84" s="347">
        <f t="shared" ref="N84:N89" si="53">L65</f>
        <v>62</v>
      </c>
      <c r="O84" s="40">
        <f t="shared" ref="O84:O89" si="54">D87</f>
        <v>11.529999999999998</v>
      </c>
      <c r="P84" s="201">
        <f t="shared" ref="P84:P89" si="55">M65</f>
        <v>123.07692307692307</v>
      </c>
    </row>
    <row r="85" spans="1:16" x14ac:dyDescent="0.25">
      <c r="A85" s="79" t="s">
        <v>205</v>
      </c>
      <c r="E85" s="335" t="s">
        <v>358</v>
      </c>
      <c r="H85" s="40" t="s">
        <v>359</v>
      </c>
      <c r="M85" s="346">
        <f t="shared" si="52"/>
        <v>9.82</v>
      </c>
      <c r="N85" s="347">
        <f t="shared" si="53"/>
        <v>57</v>
      </c>
      <c r="O85" s="40">
        <f t="shared" si="54"/>
        <v>14.5</v>
      </c>
      <c r="P85" s="201">
        <f t="shared" si="55"/>
        <v>114.28571428571428</v>
      </c>
    </row>
    <row r="86" spans="1:16" x14ac:dyDescent="0.25">
      <c r="A86" s="80" t="s">
        <v>18</v>
      </c>
      <c r="B86" s="77">
        <v>0.1</v>
      </c>
      <c r="C86" s="81">
        <f>B11</f>
        <v>100</v>
      </c>
      <c r="D86" s="80">
        <f>B18</f>
        <v>200</v>
      </c>
      <c r="E86" s="80">
        <f>B25</f>
        <v>400</v>
      </c>
      <c r="F86" s="80">
        <f>B32</f>
        <v>600</v>
      </c>
      <c r="G86" s="80">
        <f>B39</f>
        <v>800</v>
      </c>
      <c r="H86" s="80">
        <f>B46</f>
        <v>1000</v>
      </c>
      <c r="I86" s="40">
        <f>H86*10</f>
        <v>10000</v>
      </c>
      <c r="M86" s="346">
        <f t="shared" si="52"/>
        <v>11.6</v>
      </c>
      <c r="N86" s="347">
        <f t="shared" si="53"/>
        <v>53</v>
      </c>
      <c r="O86" s="40">
        <f t="shared" si="54"/>
        <v>17.899999999999999</v>
      </c>
      <c r="P86" s="201">
        <f t="shared" si="55"/>
        <v>106.66666666666666</v>
      </c>
    </row>
    <row r="87" spans="1:16" x14ac:dyDescent="0.25">
      <c r="A87" s="82">
        <f>Q3</f>
        <v>0</v>
      </c>
      <c r="B87" s="77">
        <f t="shared" ref="B87:B92" si="56">$J$7</f>
        <v>0.22999999999999998</v>
      </c>
      <c r="C87" s="41">
        <f>F11</f>
        <v>7.9699999999999989</v>
      </c>
      <c r="D87" s="43">
        <f>F18</f>
        <v>11.529999999999998</v>
      </c>
      <c r="E87" s="43">
        <f t="shared" ref="E87:E92" si="57">F25</f>
        <v>20.739999999999995</v>
      </c>
      <c r="F87" s="43">
        <f t="shared" ref="F87:F92" si="58">F32</f>
        <v>27.82</v>
      </c>
      <c r="G87" s="43">
        <f t="shared" ref="G87:G92" si="59">F39</f>
        <v>34.600000000000009</v>
      </c>
      <c r="H87" s="43">
        <f t="shared" ref="H87:H92" si="60">F46</f>
        <v>42.07</v>
      </c>
      <c r="I87" s="40">
        <f t="shared" ref="I87:I92" si="61">H87*10</f>
        <v>420.7</v>
      </c>
      <c r="J87" s="94">
        <f t="shared" ref="J87:J92" ca="1" si="62">_xlfn.FORECAST.LINEAR(__RPM1,OFFSET(B87:H87,0,MATCH(__RPM1,$B$86:$H$86,1)-1,1,2),OFFSET($B$86:$H$86,0,MATCH(__RPM1,$B$86:$H$86,1)-1,1,2))</f>
        <v>10.343791192811139</v>
      </c>
      <c r="M87" s="346">
        <f t="shared" si="52"/>
        <v>14.079999999999998</v>
      </c>
      <c r="N87" s="347">
        <f t="shared" si="53"/>
        <v>49</v>
      </c>
      <c r="O87" s="40">
        <f t="shared" si="54"/>
        <v>24.6</v>
      </c>
      <c r="P87" s="201">
        <f t="shared" si="55"/>
        <v>100</v>
      </c>
    </row>
    <row r="88" spans="1:16" x14ac:dyDescent="0.25">
      <c r="A88" s="82">
        <f>Q4</f>
        <v>100</v>
      </c>
      <c r="B88" s="77">
        <f t="shared" si="56"/>
        <v>0.22999999999999998</v>
      </c>
      <c r="C88" s="41">
        <f>E12</f>
        <v>9.82</v>
      </c>
      <c r="D88" s="43">
        <f>E19</f>
        <v>14.5</v>
      </c>
      <c r="E88" s="43">
        <f t="shared" si="57"/>
        <v>25.09</v>
      </c>
      <c r="F88" s="43">
        <f t="shared" si="58"/>
        <v>33.340000000000003</v>
      </c>
      <c r="G88" s="43">
        <f t="shared" si="59"/>
        <v>42.370000000000005</v>
      </c>
      <c r="H88" s="43">
        <f t="shared" si="60"/>
        <v>52.09</v>
      </c>
      <c r="I88" s="40">
        <f t="shared" si="61"/>
        <v>520.90000000000009</v>
      </c>
      <c r="J88" s="94">
        <f t="shared" ca="1" si="62"/>
        <v>12.940601905156219</v>
      </c>
      <c r="M88" s="346">
        <f t="shared" si="52"/>
        <v>22.36</v>
      </c>
      <c r="N88" s="347">
        <f t="shared" si="53"/>
        <v>41</v>
      </c>
      <c r="O88" s="40">
        <f t="shared" si="54"/>
        <v>41.559999999999995</v>
      </c>
      <c r="P88" s="201">
        <f t="shared" si="55"/>
        <v>84.210526315789465</v>
      </c>
    </row>
    <row r="89" spans="1:16" x14ac:dyDescent="0.25">
      <c r="A89" s="82">
        <f>Q5</f>
        <v>500</v>
      </c>
      <c r="B89" s="77">
        <f t="shared" si="56"/>
        <v>0.22999999999999998</v>
      </c>
      <c r="C89" s="41">
        <f>E13</f>
        <v>11.6</v>
      </c>
      <c r="D89" s="43">
        <f>E20</f>
        <v>17.899999999999999</v>
      </c>
      <c r="E89" s="43">
        <f t="shared" si="57"/>
        <v>31.72</v>
      </c>
      <c r="F89" s="43">
        <f t="shared" si="58"/>
        <v>43.480000000000004</v>
      </c>
      <c r="G89" s="43">
        <f t="shared" si="59"/>
        <v>56.08</v>
      </c>
      <c r="H89" s="43">
        <f t="shared" si="60"/>
        <v>68.77</v>
      </c>
      <c r="I89" s="40">
        <f t="shared" si="61"/>
        <v>687.69999999999993</v>
      </c>
      <c r="J89" s="94">
        <f t="shared" ca="1" si="62"/>
        <v>15.800810256941066</v>
      </c>
      <c r="M89" s="346">
        <f t="shared" si="52"/>
        <v>24.42</v>
      </c>
      <c r="N89" s="347">
        <f t="shared" si="53"/>
        <v>33</v>
      </c>
      <c r="O89" s="40">
        <f t="shared" si="54"/>
        <v>46.7</v>
      </c>
      <c r="P89" s="201">
        <f t="shared" si="55"/>
        <v>80</v>
      </c>
    </row>
    <row r="90" spans="1:16" x14ac:dyDescent="0.25">
      <c r="A90" s="82">
        <f>Q6</f>
        <v>1000</v>
      </c>
      <c r="B90" s="77">
        <f t="shared" si="56"/>
        <v>0.22999999999999998</v>
      </c>
      <c r="C90" s="41">
        <f>E14</f>
        <v>14.079999999999998</v>
      </c>
      <c r="D90" s="43">
        <f>E21</f>
        <v>24.6</v>
      </c>
      <c r="E90" s="43">
        <f t="shared" si="57"/>
        <v>42.970000000000006</v>
      </c>
      <c r="F90" s="43">
        <f t="shared" si="58"/>
        <v>58.57</v>
      </c>
      <c r="G90" s="43">
        <f t="shared" si="59"/>
        <v>75.25</v>
      </c>
      <c r="H90" s="43">
        <f t="shared" si="60"/>
        <v>92.22999999999999</v>
      </c>
      <c r="I90" s="40">
        <f t="shared" si="61"/>
        <v>922.3</v>
      </c>
      <c r="J90" s="94">
        <f t="shared" ca="1" si="62"/>
        <v>21.0946863338127</v>
      </c>
      <c r="M90" s="346"/>
      <c r="N90" s="346"/>
    </row>
    <row r="91" spans="1:16" x14ac:dyDescent="0.25">
      <c r="A91" s="82">
        <f>Q7</f>
        <v>2000</v>
      </c>
      <c r="B91" s="77">
        <f t="shared" si="56"/>
        <v>0.22999999999999998</v>
      </c>
      <c r="C91" s="41">
        <f>E15</f>
        <v>22.36</v>
      </c>
      <c r="D91" s="43">
        <f>E22</f>
        <v>41.559999999999995</v>
      </c>
      <c r="E91" s="43">
        <f t="shared" si="57"/>
        <v>64.570000000000007</v>
      </c>
      <c r="F91" s="43">
        <f t="shared" si="58"/>
        <v>82.839999999999989</v>
      </c>
      <c r="G91" s="43">
        <f t="shared" si="59"/>
        <v>103.75</v>
      </c>
      <c r="H91" s="43">
        <f t="shared" si="60"/>
        <v>126.36999999999999</v>
      </c>
      <c r="I91" s="40">
        <f t="shared" si="61"/>
        <v>1263.6999999999998</v>
      </c>
      <c r="J91" s="94">
        <f t="shared" ca="1" si="62"/>
        <v>35.162469354487051</v>
      </c>
      <c r="M91" s="332"/>
    </row>
    <row r="92" spans="1:16" x14ac:dyDescent="0.25">
      <c r="A92" s="82">
        <f>Q8+0.1</f>
        <v>3000.1</v>
      </c>
      <c r="B92" s="77">
        <f t="shared" si="56"/>
        <v>0.22999999999999998</v>
      </c>
      <c r="C92" s="41">
        <f>E16</f>
        <v>24.42</v>
      </c>
      <c r="D92" s="43">
        <f>E23</f>
        <v>46.7</v>
      </c>
      <c r="E92" s="43">
        <f t="shared" si="57"/>
        <v>73.27</v>
      </c>
      <c r="F92" s="43">
        <f t="shared" si="58"/>
        <v>96.22</v>
      </c>
      <c r="G92" s="43">
        <f t="shared" si="59"/>
        <v>118.3</v>
      </c>
      <c r="H92" s="43">
        <f t="shared" si="60"/>
        <v>145.69</v>
      </c>
      <c r="I92" s="40">
        <f t="shared" si="61"/>
        <v>1456.9</v>
      </c>
      <c r="J92" s="94">
        <f t="shared" ca="1" si="62"/>
        <v>39.276198813436018</v>
      </c>
      <c r="M92" s="332"/>
    </row>
    <row r="95" spans="1:16" x14ac:dyDescent="0.25">
      <c r="A95" s="40" t="s">
        <v>360</v>
      </c>
      <c r="B95" s="84">
        <f>B83</f>
        <v>166.67952788795341</v>
      </c>
      <c r="C95" s="40" t="s">
        <v>18</v>
      </c>
      <c r="M95" s="332"/>
    </row>
    <row r="96" spans="1:16" x14ac:dyDescent="0.25">
      <c r="A96" s="40" t="s">
        <v>361</v>
      </c>
      <c r="B96" s="84">
        <f>B80</f>
        <v>40</v>
      </c>
      <c r="C96" s="40" t="s">
        <v>97</v>
      </c>
      <c r="M96" s="332"/>
    </row>
    <row r="97" spans="1:3" x14ac:dyDescent="0.25">
      <c r="A97" s="40" t="s">
        <v>362</v>
      </c>
      <c r="B97" s="85">
        <f ca="1">_xlfn.FORECAST.LINEAR(Press1,OFFSET(J87:J92,MATCH(Press1,A87:A92,1)-1,0,2),OFFSET(A87:A92,MATCH(Press1,A87:A92,1)-1,0,2))</f>
        <v>11.382515477749171</v>
      </c>
      <c r="C97" s="40" t="s">
        <v>19</v>
      </c>
    </row>
  </sheetData>
  <mergeCells count="3">
    <mergeCell ref="C9:E9"/>
    <mergeCell ref="F9:H9"/>
    <mergeCell ref="L9:N9"/>
  </mergeCells>
  <pageMargins left="0.70866141732283472" right="0.70866141732283472" top="0.74803149606299213" bottom="0.74803149606299213" header="0.31496062992125984" footer="0.31496062992125984"/>
  <pageSetup scale="63" orientation="landscape" r:id="rId1"/>
  <rowBreaks count="1" manualBreakCount="1">
    <brk id="54" max="1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81278-5612-4116-BC59-925F0FF9A63A}">
  <sheetPr codeName="Sheet5">
    <tabColor rgb="FFFF0000"/>
  </sheetPr>
  <dimension ref="A1:AA97"/>
  <sheetViews>
    <sheetView topLeftCell="A21" workbookViewId="0">
      <selection activeCell="D41" sqref="D41"/>
    </sheetView>
  </sheetViews>
  <sheetFormatPr defaultColWidth="9.140625" defaultRowHeight="15" x14ac:dyDescent="0.25"/>
  <cols>
    <col min="1" max="1" width="14.7109375" style="40" customWidth="1"/>
    <col min="2" max="2" width="11.28515625" style="77" customWidth="1"/>
    <col min="3" max="3" width="12.42578125" style="40" customWidth="1"/>
    <col min="4" max="4" width="19.140625" style="40" customWidth="1"/>
    <col min="5" max="5" width="13.7109375" style="40" customWidth="1"/>
    <col min="6" max="6" width="14.85546875" style="40" customWidth="1"/>
    <col min="7" max="7" width="13.140625" style="40" customWidth="1"/>
    <col min="8" max="8" width="9.140625" style="40"/>
    <col min="9" max="9" width="12.140625" style="40" customWidth="1"/>
    <col min="10" max="10" width="10.5703125" style="40" customWidth="1"/>
    <col min="11" max="11" width="12" style="40" customWidth="1"/>
    <col min="12" max="12" width="9.140625" style="40" customWidth="1"/>
    <col min="13" max="13" width="9.140625" style="44"/>
    <col min="14" max="15" width="9.140625" style="40"/>
    <col min="16" max="16" width="9.5703125" style="40" bestFit="1" customWidth="1"/>
    <col min="17" max="16384" width="9.140625" style="40"/>
  </cols>
  <sheetData>
    <row r="1" spans="1:27" x14ac:dyDescent="0.25">
      <c r="B1" s="41" t="s">
        <v>305</v>
      </c>
      <c r="C1" s="42">
        <v>44371</v>
      </c>
      <c r="D1" s="331" t="s">
        <v>306</v>
      </c>
      <c r="E1" s="43"/>
      <c r="F1" s="43"/>
      <c r="M1" s="332"/>
    </row>
    <row r="2" spans="1:27" ht="21" x14ac:dyDescent="0.35">
      <c r="A2" s="45" t="s">
        <v>308</v>
      </c>
      <c r="B2" s="46"/>
      <c r="C2" s="45"/>
      <c r="D2" s="45"/>
      <c r="E2" s="45"/>
      <c r="F2" s="45"/>
      <c r="G2" s="45"/>
      <c r="H2" s="45"/>
      <c r="I2" s="45"/>
      <c r="J2" s="45"/>
      <c r="K2" s="45"/>
      <c r="L2" s="45"/>
      <c r="M2" s="40"/>
      <c r="P2" s="47" t="s">
        <v>309</v>
      </c>
      <c r="Q2" s="49" t="s">
        <v>310</v>
      </c>
    </row>
    <row r="3" spans="1:27" x14ac:dyDescent="0.25">
      <c r="A3" s="47" t="s">
        <v>311</v>
      </c>
      <c r="B3" s="128"/>
      <c r="C3" s="47" t="s">
        <v>364</v>
      </c>
      <c r="D3" s="47"/>
      <c r="E3" s="47"/>
      <c r="F3" s="47"/>
      <c r="G3" s="48"/>
      <c r="H3" s="43"/>
      <c r="I3" s="49"/>
      <c r="K3" s="49"/>
      <c r="L3" s="49"/>
      <c r="M3" s="40"/>
      <c r="P3" s="47">
        <f>1000*0.1</f>
        <v>100</v>
      </c>
      <c r="Q3" s="49">
        <v>0</v>
      </c>
    </row>
    <row r="4" spans="1:27" x14ac:dyDescent="0.25">
      <c r="A4" s="128" t="s">
        <v>313</v>
      </c>
      <c r="B4" s="128"/>
      <c r="C4" s="128">
        <v>0.312</v>
      </c>
      <c r="D4" s="128"/>
      <c r="E4" s="128"/>
      <c r="F4" s="128"/>
      <c r="G4" s="51" t="s">
        <v>314</v>
      </c>
      <c r="H4" s="333" t="s">
        <v>315</v>
      </c>
      <c r="I4" s="182"/>
      <c r="J4" s="183" t="s">
        <v>19</v>
      </c>
      <c r="K4" s="184"/>
      <c r="L4" s="183"/>
      <c r="M4" s="334"/>
      <c r="N4" s="182"/>
      <c r="O4" s="47"/>
      <c r="P4" s="47">
        <f>1000*0.2</f>
        <v>200</v>
      </c>
      <c r="Q4" s="49">
        <v>500</v>
      </c>
      <c r="S4" s="335" t="s">
        <v>316</v>
      </c>
    </row>
    <row r="5" spans="1:27" x14ac:dyDescent="0.25">
      <c r="A5" s="128" t="s">
        <v>317</v>
      </c>
      <c r="B5" s="128"/>
      <c r="C5" s="128">
        <v>25.7</v>
      </c>
      <c r="D5" s="128"/>
      <c r="E5" s="128"/>
      <c r="F5" s="128"/>
      <c r="G5" s="52" t="s">
        <v>318</v>
      </c>
      <c r="H5" s="185">
        <v>73.5</v>
      </c>
      <c r="I5" s="184"/>
      <c r="J5" s="182">
        <f>H5/1000*25</f>
        <v>1.8374999999999999</v>
      </c>
      <c r="K5" s="186" t="s">
        <v>319</v>
      </c>
      <c r="L5" s="182"/>
      <c r="M5" s="334"/>
      <c r="N5" s="182"/>
      <c r="O5" s="47"/>
      <c r="P5" s="47">
        <f>1000*0.4</f>
        <v>400</v>
      </c>
      <c r="Q5" s="49">
        <v>1000</v>
      </c>
      <c r="S5" s="40">
        <v>300</v>
      </c>
    </row>
    <row r="6" spans="1:27" x14ac:dyDescent="0.25">
      <c r="A6" s="128" t="s">
        <v>320</v>
      </c>
      <c r="B6" s="128"/>
      <c r="C6" s="128">
        <f>0.15-0.014</f>
        <v>0.13599999999999998</v>
      </c>
      <c r="D6" s="128"/>
      <c r="E6" s="128"/>
      <c r="F6" s="128"/>
      <c r="G6" s="51" t="s">
        <v>321</v>
      </c>
      <c r="H6" s="185">
        <v>64.3</v>
      </c>
      <c r="I6" s="184"/>
      <c r="J6" s="182">
        <f>H6/1000*25</f>
        <v>1.6074999999999999</v>
      </c>
      <c r="K6" s="186" t="s">
        <v>319</v>
      </c>
      <c r="L6" s="182"/>
      <c r="M6" s="334"/>
      <c r="N6" s="182"/>
      <c r="O6" s="47"/>
      <c r="P6" s="47">
        <f>1000*0.6</f>
        <v>600</v>
      </c>
      <c r="Q6" s="49">
        <v>3000</v>
      </c>
    </row>
    <row r="7" spans="1:27" x14ac:dyDescent="0.25">
      <c r="A7" s="53" t="s">
        <v>322</v>
      </c>
      <c r="B7" s="128"/>
      <c r="C7" s="128" t="s">
        <v>366</v>
      </c>
      <c r="D7" s="128"/>
      <c r="E7" s="128"/>
      <c r="F7" s="128"/>
      <c r="H7" s="182"/>
      <c r="I7" s="182" t="s">
        <v>324</v>
      </c>
      <c r="J7" s="183">
        <f>J5-J6</f>
        <v>0.22999999999999998</v>
      </c>
      <c r="K7" s="183" t="s">
        <v>19</v>
      </c>
      <c r="L7" s="186" t="s">
        <v>325</v>
      </c>
      <c r="M7" s="334"/>
      <c r="N7" s="182"/>
      <c r="O7" s="47"/>
      <c r="P7" s="47">
        <f>1000*0.8</f>
        <v>800</v>
      </c>
      <c r="Q7" s="49">
        <v>4000</v>
      </c>
    </row>
    <row r="8" spans="1:27" ht="15.75" thickBot="1" x14ac:dyDescent="0.3">
      <c r="A8" s="53" t="s">
        <v>326</v>
      </c>
      <c r="B8" s="128"/>
      <c r="C8" s="126" t="s">
        <v>327</v>
      </c>
      <c r="D8" s="53"/>
      <c r="E8" s="53"/>
      <c r="F8" s="53"/>
      <c r="G8" s="40" t="s">
        <v>328</v>
      </c>
      <c r="J8" s="50"/>
      <c r="K8" s="50"/>
      <c r="L8" s="50"/>
      <c r="M8" s="336"/>
      <c r="O8" s="54"/>
      <c r="P8" s="54">
        <v>1000</v>
      </c>
      <c r="Q8" s="49">
        <v>5000</v>
      </c>
    </row>
    <row r="9" spans="1:27" x14ac:dyDescent="0.25">
      <c r="A9" s="47" t="s">
        <v>205</v>
      </c>
      <c r="C9" s="394" t="s">
        <v>329</v>
      </c>
      <c r="D9" s="395"/>
      <c r="E9" s="396"/>
      <c r="F9" s="397" t="s">
        <v>330</v>
      </c>
      <c r="G9" s="397"/>
      <c r="H9" s="397"/>
      <c r="I9" s="55" t="s">
        <v>331</v>
      </c>
      <c r="J9" s="56" t="s">
        <v>332</v>
      </c>
      <c r="K9" s="57" t="s">
        <v>333</v>
      </c>
      <c r="L9" s="398"/>
      <c r="M9" s="399"/>
      <c r="N9" s="399"/>
      <c r="O9" s="58"/>
      <c r="P9" s="337"/>
      <c r="Z9" s="40">
        <v>10</v>
      </c>
      <c r="AA9" s="40">
        <f t="shared" ref="AA9:AA14" si="0">Z9/400*600</f>
        <v>15</v>
      </c>
    </row>
    <row r="10" spans="1:27" ht="15.75" thickBot="1" x14ac:dyDescent="0.3">
      <c r="A10" s="128" t="s">
        <v>8</v>
      </c>
      <c r="B10" s="128" t="s">
        <v>18</v>
      </c>
      <c r="C10" s="53" t="s">
        <v>335</v>
      </c>
      <c r="D10" s="50" t="s">
        <v>336</v>
      </c>
      <c r="E10" s="61" t="s">
        <v>19</v>
      </c>
      <c r="F10" s="62" t="s">
        <v>337</v>
      </c>
      <c r="G10" s="53" t="s">
        <v>338</v>
      </c>
      <c r="H10" s="53" t="s">
        <v>339</v>
      </c>
      <c r="I10" s="64" t="s">
        <v>340</v>
      </c>
      <c r="J10" s="60" t="s">
        <v>19</v>
      </c>
      <c r="K10" s="63" t="s">
        <v>341</v>
      </c>
      <c r="L10" s="63"/>
      <c r="M10" s="65" t="s">
        <v>342</v>
      </c>
      <c r="N10" s="66"/>
      <c r="O10" s="338"/>
      <c r="P10" s="68"/>
      <c r="Q10" s="69"/>
      <c r="R10" s="70"/>
      <c r="S10" s="70"/>
      <c r="Z10" s="40">
        <v>50</v>
      </c>
      <c r="AA10" s="40">
        <f t="shared" si="0"/>
        <v>75</v>
      </c>
    </row>
    <row r="11" spans="1:27" x14ac:dyDescent="0.25">
      <c r="A11" s="74">
        <f t="shared" ref="A11:A16" si="1">Q3</f>
        <v>0</v>
      </c>
      <c r="B11" s="128">
        <f t="shared" ref="B11:B16" si="2">P$3</f>
        <v>100</v>
      </c>
      <c r="C11" s="43">
        <v>370</v>
      </c>
      <c r="D11" s="43">
        <v>180</v>
      </c>
      <c r="E11" s="339">
        <f t="shared" ref="E11:E16" si="3">C11/1000*3600/D11</f>
        <v>7.4</v>
      </c>
      <c r="F11" s="100">
        <f t="shared" ref="F11:F16" si="4">E11-$J$7</f>
        <v>7.17</v>
      </c>
      <c r="G11" s="24">
        <v>60</v>
      </c>
      <c r="H11" s="24">
        <v>44</v>
      </c>
      <c r="I11" s="72">
        <f t="shared" ref="I11:I16" si="5">60*H11/G11</f>
        <v>44</v>
      </c>
      <c r="J11" s="101">
        <f t="shared" ref="J11:J16" si="6">I11/100*A11/100*0.8</f>
        <v>0</v>
      </c>
      <c r="K11" s="340">
        <f t="shared" ref="K11:K16" si="7">J11/E11</f>
        <v>0</v>
      </c>
      <c r="L11" s="41"/>
      <c r="M11" s="341"/>
      <c r="N11" s="73"/>
      <c r="O11" s="342"/>
      <c r="P11" s="93"/>
      <c r="Q11" s="69"/>
      <c r="R11" s="70"/>
      <c r="S11" s="70"/>
    </row>
    <row r="12" spans="1:27" x14ac:dyDescent="0.25">
      <c r="A12" s="74">
        <f t="shared" si="1"/>
        <v>500</v>
      </c>
      <c r="B12" s="128">
        <f t="shared" si="2"/>
        <v>100</v>
      </c>
      <c r="C12" s="43">
        <v>479</v>
      </c>
      <c r="D12" s="43">
        <v>180</v>
      </c>
      <c r="E12" s="339">
        <f t="shared" si="3"/>
        <v>9.58</v>
      </c>
      <c r="F12" s="100">
        <f t="shared" si="4"/>
        <v>9.35</v>
      </c>
      <c r="G12" s="24">
        <v>60</v>
      </c>
      <c r="H12" s="24">
        <v>40</v>
      </c>
      <c r="I12" s="72">
        <f t="shared" si="5"/>
        <v>40</v>
      </c>
      <c r="J12" s="101">
        <f t="shared" si="6"/>
        <v>1.6</v>
      </c>
      <c r="K12" s="340">
        <f t="shared" si="7"/>
        <v>0.16701461377870563</v>
      </c>
      <c r="L12" s="41"/>
      <c r="M12" s="341">
        <f>I12/$I$12</f>
        <v>1</v>
      </c>
      <c r="N12" s="73"/>
      <c r="O12" s="342"/>
      <c r="P12" s="93"/>
      <c r="Z12" s="40">
        <v>100</v>
      </c>
      <c r="AA12" s="40">
        <f t="shared" si="0"/>
        <v>150</v>
      </c>
    </row>
    <row r="13" spans="1:27" x14ac:dyDescent="0.25">
      <c r="A13" s="74">
        <f t="shared" si="1"/>
        <v>1000</v>
      </c>
      <c r="B13" s="128">
        <f t="shared" si="2"/>
        <v>100</v>
      </c>
      <c r="C13" s="43">
        <v>600</v>
      </c>
      <c r="D13" s="43">
        <v>180</v>
      </c>
      <c r="E13" s="339">
        <f t="shared" si="3"/>
        <v>12</v>
      </c>
      <c r="F13" s="100">
        <f t="shared" si="4"/>
        <v>11.77</v>
      </c>
      <c r="G13" s="24">
        <v>60</v>
      </c>
      <c r="H13" s="24">
        <v>37</v>
      </c>
      <c r="I13" s="72">
        <f t="shared" si="5"/>
        <v>37</v>
      </c>
      <c r="J13" s="101">
        <f t="shared" si="6"/>
        <v>2.9600000000000004</v>
      </c>
      <c r="K13" s="340">
        <f t="shared" si="7"/>
        <v>0.2466666666666667</v>
      </c>
      <c r="L13" s="41"/>
      <c r="M13" s="341">
        <f>I13/$I$12</f>
        <v>0.92500000000000004</v>
      </c>
      <c r="N13" s="73"/>
      <c r="O13" s="342"/>
      <c r="P13" s="93"/>
      <c r="Z13" s="40">
        <v>200</v>
      </c>
      <c r="AA13" s="40">
        <f t="shared" si="0"/>
        <v>300</v>
      </c>
    </row>
    <row r="14" spans="1:27" x14ac:dyDescent="0.25">
      <c r="A14" s="74">
        <f t="shared" si="1"/>
        <v>3000</v>
      </c>
      <c r="B14" s="128">
        <f t="shared" si="2"/>
        <v>100</v>
      </c>
      <c r="C14" s="43">
        <v>1050</v>
      </c>
      <c r="D14" s="43">
        <v>180</v>
      </c>
      <c r="E14" s="339">
        <f t="shared" si="3"/>
        <v>21</v>
      </c>
      <c r="F14" s="100">
        <f t="shared" si="4"/>
        <v>20.77</v>
      </c>
      <c r="G14" s="24">
        <v>60</v>
      </c>
      <c r="H14" s="24">
        <v>30</v>
      </c>
      <c r="I14" s="72">
        <f t="shared" si="5"/>
        <v>30</v>
      </c>
      <c r="J14" s="101">
        <f t="shared" si="6"/>
        <v>7.2</v>
      </c>
      <c r="K14" s="340">
        <f t="shared" si="7"/>
        <v>0.34285714285714286</v>
      </c>
      <c r="L14" s="41"/>
      <c r="M14" s="341">
        <f>I14/$I$12</f>
        <v>0.75</v>
      </c>
      <c r="N14" s="73"/>
      <c r="O14" s="342"/>
      <c r="P14" s="93"/>
      <c r="Z14" s="40">
        <v>300</v>
      </c>
      <c r="AA14" s="40">
        <f t="shared" si="0"/>
        <v>450</v>
      </c>
    </row>
    <row r="15" spans="1:27" x14ac:dyDescent="0.25">
      <c r="A15" s="74">
        <f t="shared" si="1"/>
        <v>4000</v>
      </c>
      <c r="B15" s="128">
        <f t="shared" si="2"/>
        <v>100</v>
      </c>
      <c r="C15" s="43">
        <v>1255</v>
      </c>
      <c r="D15" s="43">
        <v>180</v>
      </c>
      <c r="E15" s="339">
        <f t="shared" si="3"/>
        <v>25.1</v>
      </c>
      <c r="F15" s="100">
        <f t="shared" si="4"/>
        <v>24.87</v>
      </c>
      <c r="G15" s="24">
        <v>60</v>
      </c>
      <c r="H15" s="24">
        <v>26</v>
      </c>
      <c r="I15" s="72">
        <f t="shared" si="5"/>
        <v>26</v>
      </c>
      <c r="J15" s="101">
        <f t="shared" si="6"/>
        <v>8.32</v>
      </c>
      <c r="K15" s="340">
        <f t="shared" si="7"/>
        <v>0.33147410358565738</v>
      </c>
      <c r="L15" s="41"/>
      <c r="M15" s="341">
        <f>I15/$I$12</f>
        <v>0.65</v>
      </c>
      <c r="N15" s="73"/>
      <c r="O15" s="342"/>
      <c r="P15" s="93"/>
      <c r="Z15" s="40">
        <v>400</v>
      </c>
      <c r="AA15" s="40">
        <f>Z15/400*600</f>
        <v>600</v>
      </c>
    </row>
    <row r="16" spans="1:27" x14ac:dyDescent="0.25">
      <c r="A16" s="74">
        <f t="shared" si="1"/>
        <v>5000</v>
      </c>
      <c r="B16" s="128">
        <f t="shared" si="2"/>
        <v>100</v>
      </c>
      <c r="C16" s="43">
        <v>1318</v>
      </c>
      <c r="D16" s="43">
        <v>180</v>
      </c>
      <c r="E16" s="339">
        <f t="shared" si="3"/>
        <v>26.36</v>
      </c>
      <c r="F16" s="100">
        <f t="shared" si="4"/>
        <v>26.13</v>
      </c>
      <c r="G16" s="24">
        <v>60</v>
      </c>
      <c r="H16" s="24">
        <v>23</v>
      </c>
      <c r="I16" s="72">
        <f t="shared" si="5"/>
        <v>23</v>
      </c>
      <c r="J16" s="101">
        <f t="shared" si="6"/>
        <v>9.2000000000000011</v>
      </c>
      <c r="K16" s="340">
        <f t="shared" si="7"/>
        <v>0.34901365705614573</v>
      </c>
      <c r="L16" s="41"/>
      <c r="M16" s="341">
        <f>I16/$I$12</f>
        <v>0.57499999999999996</v>
      </c>
      <c r="N16" s="73"/>
      <c r="O16" s="342"/>
      <c r="P16" s="93"/>
    </row>
    <row r="17" spans="1:27" x14ac:dyDescent="0.25">
      <c r="A17" s="74"/>
      <c r="B17" s="74"/>
      <c r="D17" s="43"/>
      <c r="E17" s="343"/>
      <c r="F17" s="100"/>
      <c r="G17" s="24"/>
      <c r="H17" s="24"/>
      <c r="I17" s="72"/>
      <c r="J17" s="101"/>
      <c r="K17" s="41"/>
      <c r="L17" s="41"/>
      <c r="M17" s="341"/>
      <c r="N17" s="73"/>
      <c r="O17" s="342"/>
      <c r="P17" s="93"/>
    </row>
    <row r="18" spans="1:27" x14ac:dyDescent="0.25">
      <c r="A18" s="74">
        <f t="shared" ref="A18:A23" si="8">Q3</f>
        <v>0</v>
      </c>
      <c r="B18" s="74">
        <f t="shared" ref="B18:B23" si="9">P$4</f>
        <v>200</v>
      </c>
      <c r="C18" s="43">
        <v>434</v>
      </c>
      <c r="D18" s="43">
        <v>180</v>
      </c>
      <c r="E18" s="339">
        <f t="shared" ref="E18:E23" si="10">C18/1000*3600/D18</f>
        <v>8.68</v>
      </c>
      <c r="F18" s="100">
        <f t="shared" ref="F18:F23" si="11">E18-$J$7</f>
        <v>8.4499999999999993</v>
      </c>
      <c r="G18" s="24">
        <v>60</v>
      </c>
      <c r="H18" s="24">
        <v>87</v>
      </c>
      <c r="I18" s="72">
        <f t="shared" ref="I18:I23" si="12">60*H18/G18</f>
        <v>87</v>
      </c>
      <c r="J18" s="101">
        <f t="shared" ref="J18:J23" si="13">I18/100*A18/100*0.8</f>
        <v>0</v>
      </c>
      <c r="K18" s="340">
        <f t="shared" ref="K18:K23" si="14">J18/E18</f>
        <v>0</v>
      </c>
      <c r="L18" s="41"/>
      <c r="M18" s="341"/>
      <c r="N18" s="73"/>
      <c r="O18" s="342"/>
      <c r="P18" s="93"/>
      <c r="Q18" s="69"/>
      <c r="R18" s="70"/>
      <c r="S18" s="70"/>
    </row>
    <row r="19" spans="1:27" x14ac:dyDescent="0.25">
      <c r="A19" s="74">
        <f t="shared" si="8"/>
        <v>500</v>
      </c>
      <c r="B19" s="74">
        <f t="shared" si="9"/>
        <v>200</v>
      </c>
      <c r="C19" s="43">
        <v>684</v>
      </c>
      <c r="D19" s="43">
        <v>180</v>
      </c>
      <c r="E19" s="339">
        <f t="shared" si="10"/>
        <v>13.68</v>
      </c>
      <c r="F19" s="100">
        <f t="shared" si="11"/>
        <v>13.45</v>
      </c>
      <c r="G19" s="24">
        <v>60</v>
      </c>
      <c r="H19" s="24">
        <v>78</v>
      </c>
      <c r="I19" s="72">
        <f t="shared" si="12"/>
        <v>78</v>
      </c>
      <c r="J19" s="101">
        <f t="shared" si="13"/>
        <v>3.12</v>
      </c>
      <c r="K19" s="340">
        <f t="shared" si="14"/>
        <v>0.22807017543859651</v>
      </c>
      <c r="L19" s="41"/>
      <c r="M19" s="341">
        <f>I19/$I$19</f>
        <v>1</v>
      </c>
      <c r="N19" s="73"/>
      <c r="O19" s="342"/>
      <c r="P19" s="93"/>
      <c r="Z19" s="40">
        <v>100</v>
      </c>
      <c r="AA19" s="40">
        <f>Z19/400*600</f>
        <v>150</v>
      </c>
    </row>
    <row r="20" spans="1:27" x14ac:dyDescent="0.25">
      <c r="A20" s="74">
        <f t="shared" si="8"/>
        <v>1000</v>
      </c>
      <c r="B20" s="74">
        <f t="shared" si="9"/>
        <v>200</v>
      </c>
      <c r="C20" s="43">
        <v>938</v>
      </c>
      <c r="D20" s="43">
        <v>180</v>
      </c>
      <c r="E20" s="339">
        <f t="shared" si="10"/>
        <v>18.759999999999998</v>
      </c>
      <c r="F20" s="100">
        <f t="shared" si="11"/>
        <v>18.529999999999998</v>
      </c>
      <c r="G20" s="24">
        <v>60</v>
      </c>
      <c r="H20" s="24">
        <v>73</v>
      </c>
      <c r="I20" s="72">
        <f t="shared" si="12"/>
        <v>73</v>
      </c>
      <c r="J20" s="101">
        <f t="shared" si="13"/>
        <v>5.84</v>
      </c>
      <c r="K20" s="340">
        <f t="shared" si="14"/>
        <v>0.31130063965884863</v>
      </c>
      <c r="L20" s="41"/>
      <c r="M20" s="341">
        <f>I20/$I$19</f>
        <v>0.9358974358974359</v>
      </c>
      <c r="N20" s="73"/>
      <c r="O20" s="342"/>
      <c r="P20" s="93"/>
      <c r="Z20" s="40">
        <v>200</v>
      </c>
      <c r="AA20" s="40">
        <f>Z20/400*600</f>
        <v>300</v>
      </c>
    </row>
    <row r="21" spans="1:27" x14ac:dyDescent="0.25">
      <c r="A21" s="74">
        <f t="shared" si="8"/>
        <v>3000</v>
      </c>
      <c r="B21" s="74">
        <f t="shared" si="9"/>
        <v>200</v>
      </c>
      <c r="C21" s="43">
        <v>2066</v>
      </c>
      <c r="D21" s="43">
        <v>180</v>
      </c>
      <c r="E21" s="339">
        <f t="shared" si="10"/>
        <v>41.32</v>
      </c>
      <c r="F21" s="100">
        <f t="shared" si="11"/>
        <v>41.09</v>
      </c>
      <c r="G21" s="24">
        <v>60</v>
      </c>
      <c r="H21" s="24">
        <v>62</v>
      </c>
      <c r="I21" s="72">
        <f t="shared" si="12"/>
        <v>62</v>
      </c>
      <c r="J21" s="101">
        <f t="shared" si="13"/>
        <v>14.880000000000003</v>
      </c>
      <c r="K21" s="340">
        <f t="shared" si="14"/>
        <v>0.36011616650532435</v>
      </c>
      <c r="L21" s="41"/>
      <c r="M21" s="341">
        <f>I21/$I$19</f>
        <v>0.79487179487179482</v>
      </c>
      <c r="N21" s="73"/>
      <c r="O21" s="342"/>
      <c r="P21" s="93"/>
      <c r="Z21" s="40">
        <v>300</v>
      </c>
      <c r="AA21" s="40">
        <f>Z21/400*600</f>
        <v>450</v>
      </c>
    </row>
    <row r="22" spans="1:27" x14ac:dyDescent="0.25">
      <c r="A22" s="74">
        <f t="shared" si="8"/>
        <v>4000</v>
      </c>
      <c r="B22" s="74">
        <f t="shared" si="9"/>
        <v>200</v>
      </c>
      <c r="C22" s="43">
        <v>2314</v>
      </c>
      <c r="D22" s="43">
        <v>180</v>
      </c>
      <c r="E22" s="339">
        <f t="shared" si="10"/>
        <v>46.28</v>
      </c>
      <c r="F22" s="100">
        <f t="shared" si="11"/>
        <v>46.050000000000004</v>
      </c>
      <c r="G22" s="24">
        <v>60</v>
      </c>
      <c r="H22" s="24">
        <v>54</v>
      </c>
      <c r="I22" s="72">
        <f t="shared" si="12"/>
        <v>54</v>
      </c>
      <c r="J22" s="101">
        <f t="shared" si="13"/>
        <v>17.28</v>
      </c>
      <c r="K22" s="340">
        <f t="shared" si="14"/>
        <v>0.37337942955920483</v>
      </c>
      <c r="L22" s="41"/>
      <c r="M22" s="341">
        <f>I22/$I$19</f>
        <v>0.69230769230769229</v>
      </c>
      <c r="N22" s="73"/>
      <c r="O22" s="342"/>
      <c r="P22" s="93"/>
      <c r="Z22" s="40">
        <v>400</v>
      </c>
      <c r="AA22" s="40">
        <f>Z22/400*600</f>
        <v>600</v>
      </c>
    </row>
    <row r="23" spans="1:27" x14ac:dyDescent="0.25">
      <c r="A23" s="74">
        <f t="shared" si="8"/>
        <v>5000</v>
      </c>
      <c r="B23" s="74">
        <f t="shared" si="9"/>
        <v>200</v>
      </c>
      <c r="C23" s="43">
        <v>2450</v>
      </c>
      <c r="D23" s="43">
        <v>180</v>
      </c>
      <c r="E23" s="339">
        <f t="shared" si="10"/>
        <v>49</v>
      </c>
      <c r="F23" s="100">
        <f t="shared" si="11"/>
        <v>48.77</v>
      </c>
      <c r="G23" s="24">
        <v>60</v>
      </c>
      <c r="H23" s="24">
        <v>46</v>
      </c>
      <c r="I23" s="72">
        <f t="shared" si="12"/>
        <v>46</v>
      </c>
      <c r="J23" s="101">
        <f t="shared" si="13"/>
        <v>18.400000000000002</v>
      </c>
      <c r="K23" s="340">
        <f t="shared" si="14"/>
        <v>0.37551020408163271</v>
      </c>
      <c r="L23" s="41"/>
      <c r="M23" s="341">
        <f>I23/$I$19</f>
        <v>0.58974358974358976</v>
      </c>
      <c r="N23" s="73"/>
      <c r="O23" s="342"/>
      <c r="P23" s="93"/>
    </row>
    <row r="24" spans="1:27" x14ac:dyDescent="0.25">
      <c r="A24" s="128"/>
      <c r="B24" s="128"/>
      <c r="C24" s="43"/>
      <c r="D24" s="43"/>
      <c r="E24" s="343"/>
      <c r="F24" s="100"/>
      <c r="G24" s="24"/>
      <c r="H24" s="24"/>
      <c r="I24" s="72"/>
      <c r="J24" s="101"/>
      <c r="K24" s="41"/>
      <c r="L24" s="41"/>
      <c r="M24" s="341"/>
      <c r="N24" s="73"/>
      <c r="O24" s="43"/>
      <c r="P24" s="43"/>
    </row>
    <row r="25" spans="1:27" x14ac:dyDescent="0.25">
      <c r="A25" s="128">
        <f t="shared" ref="A25:A30" si="15">Q3</f>
        <v>0</v>
      </c>
      <c r="B25" s="128">
        <f t="shared" ref="B25:B30" si="16">P$5</f>
        <v>400</v>
      </c>
      <c r="C25" s="43">
        <v>627</v>
      </c>
      <c r="D25" s="43">
        <v>120</v>
      </c>
      <c r="E25" s="339">
        <f t="shared" ref="E25:E30" si="17">C25/1000*3600/D25</f>
        <v>18.809999999999999</v>
      </c>
      <c r="F25" s="100">
        <f t="shared" ref="F25:F30" si="18">E25-$J$7</f>
        <v>18.579999999999998</v>
      </c>
      <c r="G25" s="24">
        <v>15</v>
      </c>
      <c r="H25" s="24">
        <v>44</v>
      </c>
      <c r="I25" s="72">
        <f t="shared" ref="I25:I30" si="19">60*H25/G25</f>
        <v>176</v>
      </c>
      <c r="J25" s="101">
        <f t="shared" ref="J25:J30" si="20">I25/100*A25/100*0.8</f>
        <v>0</v>
      </c>
      <c r="K25" s="340">
        <f t="shared" ref="K25:K30" si="21">J25/E25</f>
        <v>0</v>
      </c>
      <c r="L25" s="41"/>
      <c r="M25" s="341"/>
      <c r="N25" s="73"/>
      <c r="O25" s="43"/>
      <c r="P25" s="43"/>
      <c r="Q25" s="69"/>
      <c r="R25" s="70"/>
      <c r="S25" s="70"/>
    </row>
    <row r="26" spans="1:27" x14ac:dyDescent="0.25">
      <c r="A26" s="128">
        <f t="shared" si="15"/>
        <v>500</v>
      </c>
      <c r="B26" s="128">
        <f t="shared" si="16"/>
        <v>400</v>
      </c>
      <c r="C26" s="43">
        <v>910</v>
      </c>
      <c r="D26" s="43">
        <v>120</v>
      </c>
      <c r="E26" s="339">
        <f t="shared" si="17"/>
        <v>27.3</v>
      </c>
      <c r="F26" s="100">
        <f t="shared" si="18"/>
        <v>27.07</v>
      </c>
      <c r="G26" s="24">
        <v>15</v>
      </c>
      <c r="H26" s="24">
        <v>39</v>
      </c>
      <c r="I26" s="72">
        <f t="shared" si="19"/>
        <v>156</v>
      </c>
      <c r="J26" s="101">
        <f t="shared" si="20"/>
        <v>6.24</v>
      </c>
      <c r="K26" s="340">
        <f t="shared" si="21"/>
        <v>0.22857142857142856</v>
      </c>
      <c r="L26" s="41"/>
      <c r="M26" s="341">
        <f>I26/$I$26</f>
        <v>1</v>
      </c>
      <c r="N26" s="73"/>
      <c r="O26" s="43"/>
      <c r="P26" s="43"/>
      <c r="Z26" s="40">
        <v>100</v>
      </c>
      <c r="AA26" s="40">
        <f>Z26/400*600</f>
        <v>150</v>
      </c>
    </row>
    <row r="27" spans="1:27" x14ac:dyDescent="0.25">
      <c r="A27" s="128">
        <f t="shared" si="15"/>
        <v>1000</v>
      </c>
      <c r="B27" s="128">
        <f t="shared" si="16"/>
        <v>400</v>
      </c>
      <c r="C27" s="43">
        <v>1150</v>
      </c>
      <c r="D27" s="43">
        <v>120</v>
      </c>
      <c r="E27" s="339">
        <f t="shared" si="17"/>
        <v>34.5</v>
      </c>
      <c r="F27" s="100">
        <f t="shared" si="18"/>
        <v>34.270000000000003</v>
      </c>
      <c r="G27" s="24">
        <v>15</v>
      </c>
      <c r="H27" s="24">
        <v>37</v>
      </c>
      <c r="I27" s="72">
        <f t="shared" si="19"/>
        <v>148</v>
      </c>
      <c r="J27" s="101">
        <f t="shared" si="20"/>
        <v>11.840000000000002</v>
      </c>
      <c r="K27" s="340">
        <f t="shared" si="21"/>
        <v>0.34318840579710147</v>
      </c>
      <c r="L27" s="41"/>
      <c r="M27" s="341">
        <f>I27/$I$26</f>
        <v>0.94871794871794868</v>
      </c>
      <c r="N27" s="73"/>
      <c r="O27" s="43"/>
      <c r="P27" s="43"/>
      <c r="Z27" s="40">
        <v>200</v>
      </c>
      <c r="AA27" s="40">
        <f>Z27/400*600</f>
        <v>300</v>
      </c>
    </row>
    <row r="28" spans="1:27" x14ac:dyDescent="0.25">
      <c r="A28" s="128">
        <f t="shared" si="15"/>
        <v>3000</v>
      </c>
      <c r="B28" s="128">
        <f t="shared" si="16"/>
        <v>400</v>
      </c>
      <c r="C28" s="43">
        <v>2150</v>
      </c>
      <c r="D28" s="43">
        <v>120</v>
      </c>
      <c r="E28" s="339">
        <f t="shared" si="17"/>
        <v>64.5</v>
      </c>
      <c r="F28" s="100">
        <f t="shared" si="18"/>
        <v>64.27</v>
      </c>
      <c r="G28" s="24">
        <v>15</v>
      </c>
      <c r="H28" s="24">
        <v>29</v>
      </c>
      <c r="I28" s="72">
        <f t="shared" si="19"/>
        <v>116</v>
      </c>
      <c r="J28" s="101">
        <f t="shared" si="20"/>
        <v>27.84</v>
      </c>
      <c r="K28" s="340">
        <f t="shared" si="21"/>
        <v>0.43162790697674419</v>
      </c>
      <c r="L28" s="41"/>
      <c r="M28" s="341">
        <f>I28/$I$26</f>
        <v>0.74358974358974361</v>
      </c>
      <c r="N28" s="73"/>
      <c r="O28" s="43"/>
      <c r="P28" s="43"/>
      <c r="Z28" s="40">
        <v>300</v>
      </c>
      <c r="AA28" s="40">
        <f>Z28/400*600</f>
        <v>450</v>
      </c>
    </row>
    <row r="29" spans="1:27" x14ac:dyDescent="0.25">
      <c r="A29" s="128">
        <f t="shared" si="15"/>
        <v>4000</v>
      </c>
      <c r="B29" s="128">
        <f t="shared" si="16"/>
        <v>400</v>
      </c>
      <c r="C29" s="43">
        <v>2430</v>
      </c>
      <c r="D29" s="43">
        <v>120</v>
      </c>
      <c r="E29" s="339">
        <f t="shared" si="17"/>
        <v>72.900000000000006</v>
      </c>
      <c r="F29" s="100">
        <f t="shared" si="18"/>
        <v>72.67</v>
      </c>
      <c r="G29" s="24">
        <v>44</v>
      </c>
      <c r="H29" s="24">
        <v>75</v>
      </c>
      <c r="I29" s="72">
        <f t="shared" si="19"/>
        <v>102.27272727272727</v>
      </c>
      <c r="J29" s="101">
        <f t="shared" si="20"/>
        <v>32.727272727272727</v>
      </c>
      <c r="K29" s="340">
        <f t="shared" si="21"/>
        <v>0.44893378226711556</v>
      </c>
      <c r="L29" s="41"/>
      <c r="M29" s="341">
        <f>I29/$I$26</f>
        <v>0.65559440559440552</v>
      </c>
      <c r="N29" s="73"/>
      <c r="O29" s="43"/>
      <c r="P29" s="43"/>
      <c r="Z29" s="40">
        <v>400</v>
      </c>
      <c r="AA29" s="40">
        <f>Z29/400*600</f>
        <v>600</v>
      </c>
    </row>
    <row r="30" spans="1:27" x14ac:dyDescent="0.25">
      <c r="A30" s="128">
        <f t="shared" si="15"/>
        <v>5000</v>
      </c>
      <c r="B30" s="128">
        <f t="shared" si="16"/>
        <v>400</v>
      </c>
      <c r="C30" s="43">
        <v>2634</v>
      </c>
      <c r="D30" s="43">
        <v>120</v>
      </c>
      <c r="E30" s="339">
        <f t="shared" si="17"/>
        <v>79.02</v>
      </c>
      <c r="F30" s="100">
        <f t="shared" si="18"/>
        <v>78.789999999999992</v>
      </c>
      <c r="G30" s="24">
        <v>30</v>
      </c>
      <c r="H30" s="24">
        <v>48</v>
      </c>
      <c r="I30" s="72">
        <f t="shared" si="19"/>
        <v>96</v>
      </c>
      <c r="J30" s="101">
        <f t="shared" si="20"/>
        <v>38.400000000000006</v>
      </c>
      <c r="K30" s="340">
        <f t="shared" si="21"/>
        <v>0.4859529233105544</v>
      </c>
      <c r="L30" s="41"/>
      <c r="M30" s="341">
        <f>I30/$I$26</f>
        <v>0.61538461538461542</v>
      </c>
      <c r="N30" s="73"/>
      <c r="O30" s="43"/>
      <c r="P30" s="43"/>
      <c r="U30" s="40">
        <f>Pavg*(-0.0493) +445.3</f>
        <v>443.32800000000003</v>
      </c>
    </row>
    <row r="31" spans="1:27" x14ac:dyDescent="0.25">
      <c r="A31" s="74"/>
      <c r="B31" s="128"/>
      <c r="C31" s="43"/>
      <c r="D31" s="43"/>
      <c r="E31" s="343"/>
      <c r="F31" s="100"/>
      <c r="G31" s="24"/>
      <c r="H31" s="24"/>
      <c r="I31" s="72"/>
      <c r="J31" s="101"/>
      <c r="K31" s="41"/>
      <c r="L31" s="41"/>
      <c r="M31" s="341"/>
      <c r="N31" s="73"/>
      <c r="O31" s="43"/>
      <c r="P31" s="43"/>
      <c r="S31" s="40">
        <f>IF(Pavg=40,468,445.3)</f>
        <v>468</v>
      </c>
    </row>
    <row r="32" spans="1:27" x14ac:dyDescent="0.25">
      <c r="A32" s="128">
        <f t="shared" ref="A32:A37" si="22">Q3</f>
        <v>0</v>
      </c>
      <c r="B32" s="128">
        <f t="shared" ref="B32:B37" si="23">P$6</f>
        <v>600</v>
      </c>
      <c r="C32" s="43">
        <v>827</v>
      </c>
      <c r="D32" s="43">
        <v>120</v>
      </c>
      <c r="E32" s="339">
        <f t="shared" ref="E32:E37" si="24">C32/1000*3600/D32</f>
        <v>24.81</v>
      </c>
      <c r="F32" s="100">
        <f t="shared" ref="F32:F37" si="25">E32-$J$7</f>
        <v>24.58</v>
      </c>
      <c r="G32" s="24">
        <v>15</v>
      </c>
      <c r="H32" s="24">
        <v>69</v>
      </c>
      <c r="I32" s="72">
        <f t="shared" ref="I32:I37" si="26">60*H32/G32</f>
        <v>276</v>
      </c>
      <c r="J32" s="101">
        <f t="shared" ref="J32:J37" si="27">I32/100*A32/100*0.8</f>
        <v>0</v>
      </c>
      <c r="K32" s="340">
        <f t="shared" ref="K32:K37" si="28">J32/E32</f>
        <v>0</v>
      </c>
      <c r="L32" s="41"/>
      <c r="M32" s="341"/>
      <c r="N32" s="73"/>
      <c r="O32" s="43"/>
      <c r="P32" s="43"/>
      <c r="Q32" s="69"/>
      <c r="R32" s="70"/>
      <c r="S32" s="70"/>
    </row>
    <row r="33" spans="1:27" x14ac:dyDescent="0.25">
      <c r="A33" s="128">
        <f t="shared" si="22"/>
        <v>500</v>
      </c>
      <c r="B33" s="128">
        <f t="shared" si="23"/>
        <v>600</v>
      </c>
      <c r="C33" s="43">
        <v>1190</v>
      </c>
      <c r="D33" s="43">
        <v>120</v>
      </c>
      <c r="E33" s="339">
        <f t="shared" si="24"/>
        <v>35.700000000000003</v>
      </c>
      <c r="F33" s="100">
        <f t="shared" si="25"/>
        <v>35.470000000000006</v>
      </c>
      <c r="G33" s="24">
        <v>15</v>
      </c>
      <c r="H33" s="24">
        <v>64</v>
      </c>
      <c r="I33" s="72">
        <f t="shared" si="26"/>
        <v>256</v>
      </c>
      <c r="J33" s="101">
        <f t="shared" si="27"/>
        <v>10.240000000000002</v>
      </c>
      <c r="K33" s="340">
        <f t="shared" si="28"/>
        <v>0.28683473389355746</v>
      </c>
      <c r="L33" s="41"/>
      <c r="M33" s="341">
        <f>I33/$I$33</f>
        <v>1</v>
      </c>
      <c r="N33" s="73"/>
      <c r="O33" s="43"/>
      <c r="P33" s="43"/>
      <c r="Z33" s="40">
        <v>100</v>
      </c>
      <c r="AA33" s="40">
        <f>Z33/400*600</f>
        <v>150</v>
      </c>
    </row>
    <row r="34" spans="1:27" x14ac:dyDescent="0.25">
      <c r="A34" s="128">
        <f t="shared" si="22"/>
        <v>1000</v>
      </c>
      <c r="B34" s="128">
        <f t="shared" si="23"/>
        <v>600</v>
      </c>
      <c r="C34" s="43">
        <v>1575</v>
      </c>
      <c r="D34" s="43">
        <v>120</v>
      </c>
      <c r="E34" s="339">
        <f t="shared" si="24"/>
        <v>47.25</v>
      </c>
      <c r="F34" s="100">
        <f t="shared" si="25"/>
        <v>47.02</v>
      </c>
      <c r="G34" s="24">
        <v>15</v>
      </c>
      <c r="H34" s="24">
        <v>60</v>
      </c>
      <c r="I34" s="72">
        <f t="shared" si="26"/>
        <v>240</v>
      </c>
      <c r="J34" s="101">
        <f t="shared" si="27"/>
        <v>19.200000000000003</v>
      </c>
      <c r="K34" s="340">
        <f t="shared" si="28"/>
        <v>0.4063492063492064</v>
      </c>
      <c r="L34" s="41"/>
      <c r="M34" s="341">
        <f>I34/$I$33</f>
        <v>0.9375</v>
      </c>
      <c r="N34" s="73"/>
      <c r="O34" s="43"/>
      <c r="P34" s="43"/>
      <c r="Z34" s="40">
        <v>200</v>
      </c>
      <c r="AA34" s="40">
        <f>Z34/400*600</f>
        <v>300</v>
      </c>
    </row>
    <row r="35" spans="1:27" x14ac:dyDescent="0.25">
      <c r="A35" s="128">
        <f t="shared" si="22"/>
        <v>3000</v>
      </c>
      <c r="B35" s="128">
        <f t="shared" si="23"/>
        <v>600</v>
      </c>
      <c r="C35" s="43">
        <v>2960</v>
      </c>
      <c r="D35" s="43">
        <v>130</v>
      </c>
      <c r="E35" s="339">
        <f t="shared" si="24"/>
        <v>81.969230769230762</v>
      </c>
      <c r="F35" s="100">
        <f t="shared" si="25"/>
        <v>81.739230769230758</v>
      </c>
      <c r="G35" s="24">
        <v>15</v>
      </c>
      <c r="H35" s="24">
        <v>46</v>
      </c>
      <c r="I35" s="72">
        <f t="shared" si="26"/>
        <v>184</v>
      </c>
      <c r="J35" s="101">
        <f t="shared" si="27"/>
        <v>44.160000000000004</v>
      </c>
      <c r="K35" s="340">
        <f t="shared" si="28"/>
        <v>0.53873873873873879</v>
      </c>
      <c r="L35" s="41"/>
      <c r="M35" s="341">
        <f>I35/$I$33</f>
        <v>0.71875</v>
      </c>
      <c r="N35" s="73"/>
      <c r="O35" s="43"/>
      <c r="P35" s="43"/>
      <c r="Z35" s="40">
        <v>300</v>
      </c>
      <c r="AA35" s="40">
        <f>Z35/400*600</f>
        <v>450</v>
      </c>
    </row>
    <row r="36" spans="1:27" x14ac:dyDescent="0.25">
      <c r="A36" s="128">
        <f t="shared" si="22"/>
        <v>4000</v>
      </c>
      <c r="B36" s="128">
        <f t="shared" si="23"/>
        <v>600</v>
      </c>
      <c r="C36" s="43">
        <v>3066</v>
      </c>
      <c r="D36" s="43">
        <v>120</v>
      </c>
      <c r="E36" s="339">
        <f t="shared" si="24"/>
        <v>91.97999999999999</v>
      </c>
      <c r="F36" s="100">
        <f t="shared" si="25"/>
        <v>91.749999999999986</v>
      </c>
      <c r="G36" s="24">
        <v>15</v>
      </c>
      <c r="H36" s="24">
        <v>38</v>
      </c>
      <c r="I36" s="72">
        <f t="shared" si="26"/>
        <v>152</v>
      </c>
      <c r="J36" s="101">
        <f t="shared" si="27"/>
        <v>48.64</v>
      </c>
      <c r="K36" s="340">
        <f t="shared" si="28"/>
        <v>0.52881061100239191</v>
      </c>
      <c r="L36" s="41"/>
      <c r="M36" s="341">
        <f>I36/$I$33</f>
        <v>0.59375</v>
      </c>
      <c r="N36" s="73"/>
      <c r="O36" s="43"/>
      <c r="P36" s="43"/>
      <c r="Z36" s="40">
        <v>400</v>
      </c>
      <c r="AA36" s="40">
        <f>Z36/400*600</f>
        <v>600</v>
      </c>
    </row>
    <row r="37" spans="1:27" x14ac:dyDescent="0.25">
      <c r="A37" s="128">
        <f t="shared" si="22"/>
        <v>5000</v>
      </c>
      <c r="B37" s="128">
        <f t="shared" si="23"/>
        <v>600</v>
      </c>
      <c r="C37" s="43">
        <v>3745</v>
      </c>
      <c r="D37" s="43">
        <v>133</v>
      </c>
      <c r="E37" s="339">
        <f t="shared" si="24"/>
        <v>101.36842105263158</v>
      </c>
      <c r="F37" s="100">
        <f t="shared" si="25"/>
        <v>101.13842105263157</v>
      </c>
      <c r="G37" s="24">
        <v>30</v>
      </c>
      <c r="H37" s="24">
        <v>73</v>
      </c>
      <c r="I37" s="72">
        <f t="shared" si="26"/>
        <v>146</v>
      </c>
      <c r="J37" s="101">
        <f t="shared" si="27"/>
        <v>58.400000000000006</v>
      </c>
      <c r="K37" s="340">
        <f t="shared" si="28"/>
        <v>0.57611630321910701</v>
      </c>
      <c r="L37" s="41"/>
      <c r="M37" s="341">
        <f>I37/$I$33</f>
        <v>0.5703125</v>
      </c>
      <c r="N37" s="73"/>
      <c r="O37" s="43"/>
      <c r="P37" s="43"/>
    </row>
    <row r="38" spans="1:27" x14ac:dyDescent="0.25">
      <c r="A38" s="128"/>
      <c r="B38" s="128"/>
      <c r="C38" s="43"/>
      <c r="D38" s="43"/>
      <c r="E38" s="343"/>
      <c r="F38" s="100"/>
      <c r="G38" s="24"/>
      <c r="H38" s="24"/>
      <c r="I38" s="72"/>
      <c r="J38" s="101"/>
      <c r="K38" s="41"/>
      <c r="L38" s="41"/>
      <c r="M38" s="341"/>
      <c r="N38" s="73"/>
      <c r="O38" s="43"/>
      <c r="P38" s="43"/>
    </row>
    <row r="39" spans="1:27" x14ac:dyDescent="0.25">
      <c r="A39" s="128">
        <f t="shared" ref="A39:A44" si="29">Q3</f>
        <v>0</v>
      </c>
      <c r="B39" s="128">
        <f t="shared" ref="B39:B44" si="30">P$7</f>
        <v>800</v>
      </c>
      <c r="C39" s="43">
        <v>1045</v>
      </c>
      <c r="D39" s="43">
        <v>120</v>
      </c>
      <c r="E39" s="339">
        <f t="shared" ref="E39:E44" si="31">C39/1000*3600/D39</f>
        <v>31.349999999999998</v>
      </c>
      <c r="F39" s="100">
        <f t="shared" ref="F39:F44" si="32">E39-$J$7</f>
        <v>31.119999999999997</v>
      </c>
      <c r="G39" s="24">
        <v>15</v>
      </c>
      <c r="H39" s="24">
        <v>93</v>
      </c>
      <c r="I39" s="72">
        <f t="shared" ref="I39:I44" si="33">60*H39/G39</f>
        <v>372</v>
      </c>
      <c r="J39" s="101">
        <f t="shared" ref="J39:J44" si="34">I39/100*A39/100*0.8</f>
        <v>0</v>
      </c>
      <c r="K39" s="340">
        <f t="shared" ref="K39:K44" si="35">J39/E39</f>
        <v>0</v>
      </c>
      <c r="L39" s="41"/>
      <c r="M39" s="341"/>
      <c r="N39" s="73"/>
      <c r="O39" s="43"/>
      <c r="P39" s="43"/>
      <c r="Q39" s="69"/>
      <c r="R39" s="70"/>
      <c r="S39" s="70"/>
    </row>
    <row r="40" spans="1:27" x14ac:dyDescent="0.25">
      <c r="A40" s="128">
        <f t="shared" si="29"/>
        <v>500</v>
      </c>
      <c r="B40" s="128">
        <f t="shared" si="30"/>
        <v>800</v>
      </c>
      <c r="C40" s="43">
        <v>1555</v>
      </c>
      <c r="D40" s="43">
        <v>120</v>
      </c>
      <c r="E40" s="339">
        <f t="shared" si="31"/>
        <v>46.65</v>
      </c>
      <c r="F40" s="100">
        <f t="shared" si="32"/>
        <v>46.42</v>
      </c>
      <c r="G40" s="24">
        <v>15</v>
      </c>
      <c r="H40" s="24">
        <v>84</v>
      </c>
      <c r="I40" s="72">
        <f t="shared" si="33"/>
        <v>336</v>
      </c>
      <c r="J40" s="101">
        <f t="shared" si="34"/>
        <v>13.440000000000001</v>
      </c>
      <c r="K40" s="340">
        <f t="shared" si="35"/>
        <v>0.28810289389067528</v>
      </c>
      <c r="L40" s="41"/>
      <c r="M40" s="341">
        <f>I40/$I$40</f>
        <v>1</v>
      </c>
      <c r="N40" s="73"/>
      <c r="O40" s="43"/>
      <c r="P40" s="43"/>
      <c r="Z40" s="40">
        <v>100</v>
      </c>
      <c r="AA40" s="40">
        <f>Z40/400*600</f>
        <v>150</v>
      </c>
    </row>
    <row r="41" spans="1:27" x14ac:dyDescent="0.25">
      <c r="A41" s="128">
        <f t="shared" si="29"/>
        <v>1000</v>
      </c>
      <c r="B41" s="128">
        <f t="shared" si="30"/>
        <v>800</v>
      </c>
      <c r="C41" s="43">
        <v>2070</v>
      </c>
      <c r="D41" s="43">
        <v>120</v>
      </c>
      <c r="E41" s="339">
        <f t="shared" si="31"/>
        <v>62.099999999999994</v>
      </c>
      <c r="F41" s="100">
        <f t="shared" si="32"/>
        <v>61.87</v>
      </c>
      <c r="G41" s="24">
        <v>15</v>
      </c>
      <c r="H41" s="24">
        <v>77</v>
      </c>
      <c r="I41" s="72">
        <f t="shared" si="33"/>
        <v>308</v>
      </c>
      <c r="J41" s="101">
        <f t="shared" si="34"/>
        <v>24.64</v>
      </c>
      <c r="K41" s="340">
        <f t="shared" si="35"/>
        <v>0.39677938808373597</v>
      </c>
      <c r="L41" s="41"/>
      <c r="M41" s="341">
        <f>I41/$I$40</f>
        <v>0.91666666666666663</v>
      </c>
      <c r="N41" s="73"/>
      <c r="O41" s="43"/>
      <c r="P41" s="43"/>
      <c r="Z41" s="40">
        <v>200</v>
      </c>
      <c r="AA41" s="40">
        <f>Z41/400*600</f>
        <v>300</v>
      </c>
    </row>
    <row r="42" spans="1:27" x14ac:dyDescent="0.25">
      <c r="A42" s="128">
        <f t="shared" si="29"/>
        <v>3000</v>
      </c>
      <c r="B42" s="128">
        <f t="shared" si="30"/>
        <v>800</v>
      </c>
      <c r="C42" s="43">
        <v>3376</v>
      </c>
      <c r="D42" s="43">
        <v>120</v>
      </c>
      <c r="E42" s="339">
        <f t="shared" si="31"/>
        <v>101.28</v>
      </c>
      <c r="F42" s="100">
        <f t="shared" si="32"/>
        <v>101.05</v>
      </c>
      <c r="G42" s="24">
        <v>15</v>
      </c>
      <c r="H42" s="24">
        <v>59</v>
      </c>
      <c r="I42" s="72">
        <f t="shared" si="33"/>
        <v>236</v>
      </c>
      <c r="J42" s="101">
        <f t="shared" si="34"/>
        <v>56.64</v>
      </c>
      <c r="K42" s="340">
        <f t="shared" si="35"/>
        <v>0.55924170616113744</v>
      </c>
      <c r="L42" s="41"/>
      <c r="M42" s="341">
        <f>I42/$I$40</f>
        <v>0.70238095238095233</v>
      </c>
      <c r="N42" s="73"/>
      <c r="O42" s="43"/>
      <c r="P42" s="43"/>
      <c r="Z42" s="40">
        <v>300</v>
      </c>
      <c r="AA42" s="40">
        <f>Z42/400*600</f>
        <v>450</v>
      </c>
    </row>
    <row r="43" spans="1:27" x14ac:dyDescent="0.25">
      <c r="A43" s="128">
        <f t="shared" si="29"/>
        <v>4000</v>
      </c>
      <c r="B43" s="128">
        <f t="shared" si="30"/>
        <v>800</v>
      </c>
      <c r="C43" s="43">
        <v>1953</v>
      </c>
      <c r="D43" s="43">
        <v>60</v>
      </c>
      <c r="E43" s="339">
        <f t="shared" si="31"/>
        <v>117.18</v>
      </c>
      <c r="F43" s="100">
        <f t="shared" si="32"/>
        <v>116.95</v>
      </c>
      <c r="G43" s="24">
        <v>15</v>
      </c>
      <c r="H43" s="24">
        <v>50</v>
      </c>
      <c r="I43" s="72">
        <f t="shared" si="33"/>
        <v>200</v>
      </c>
      <c r="J43" s="101">
        <f t="shared" si="34"/>
        <v>64</v>
      </c>
      <c r="K43" s="340">
        <f t="shared" si="35"/>
        <v>0.54616828810377194</v>
      </c>
      <c r="L43" s="41"/>
      <c r="M43" s="341">
        <f>I43/$I$40</f>
        <v>0.59523809523809523</v>
      </c>
      <c r="N43" s="73"/>
      <c r="O43" s="43"/>
      <c r="P43" s="43"/>
      <c r="Z43" s="40">
        <v>400</v>
      </c>
      <c r="AA43" s="40">
        <f>Z43/400*600</f>
        <v>600</v>
      </c>
    </row>
    <row r="44" spans="1:27" x14ac:dyDescent="0.25">
      <c r="A44" s="128">
        <f t="shared" si="29"/>
        <v>5000</v>
      </c>
      <c r="B44" s="128">
        <f t="shared" si="30"/>
        <v>800</v>
      </c>
      <c r="C44" s="43">
        <v>2075</v>
      </c>
      <c r="D44" s="43">
        <v>60</v>
      </c>
      <c r="E44" s="339">
        <f t="shared" si="31"/>
        <v>124.50000000000001</v>
      </c>
      <c r="F44" s="100">
        <f t="shared" si="32"/>
        <v>124.27000000000001</v>
      </c>
      <c r="G44" s="24">
        <v>15</v>
      </c>
      <c r="H44" s="24">
        <v>42</v>
      </c>
      <c r="I44" s="72">
        <f t="shared" si="33"/>
        <v>168</v>
      </c>
      <c r="J44" s="101">
        <f t="shared" si="34"/>
        <v>67.2</v>
      </c>
      <c r="K44" s="340">
        <f t="shared" si="35"/>
        <v>0.53975903614457832</v>
      </c>
      <c r="L44" s="41"/>
      <c r="M44" s="341">
        <f>I44/$I$40</f>
        <v>0.5</v>
      </c>
      <c r="N44" s="73"/>
      <c r="O44" s="43"/>
      <c r="P44" s="43"/>
    </row>
    <row r="45" spans="1:27" x14ac:dyDescent="0.25">
      <c r="A45" s="74"/>
      <c r="B45" s="128"/>
      <c r="C45" s="43"/>
      <c r="D45" s="43"/>
      <c r="E45" s="343"/>
      <c r="F45" s="100"/>
      <c r="G45" s="24"/>
      <c r="H45" s="24"/>
      <c r="I45" s="72"/>
      <c r="J45" s="101"/>
      <c r="K45" s="41"/>
      <c r="L45" s="41"/>
      <c r="M45" s="341"/>
      <c r="N45" s="73"/>
      <c r="O45" s="43"/>
      <c r="P45" s="43"/>
    </row>
    <row r="46" spans="1:27" x14ac:dyDescent="0.25">
      <c r="A46" s="128">
        <f t="shared" ref="A46:A51" si="36">Q3</f>
        <v>0</v>
      </c>
      <c r="B46" s="128">
        <f t="shared" ref="B46:B51" si="37">P$8</f>
        <v>1000</v>
      </c>
      <c r="C46" s="43">
        <v>685</v>
      </c>
      <c r="D46" s="43">
        <v>60</v>
      </c>
      <c r="E46" s="339">
        <f t="shared" ref="E46:E51" si="38">C46/1000*3600/D46</f>
        <v>41.1</v>
      </c>
      <c r="F46" s="100">
        <f t="shared" ref="F46:F51" si="39">E46-$J$7</f>
        <v>40.870000000000005</v>
      </c>
      <c r="G46" s="24">
        <v>10</v>
      </c>
      <c r="H46" s="24">
        <v>78</v>
      </c>
      <c r="I46" s="72">
        <f t="shared" ref="I46:I51" si="40">60*H46/G46</f>
        <v>468</v>
      </c>
      <c r="J46" s="101">
        <f t="shared" ref="J46:J51" si="41">I46/100*A46/100*0.8</f>
        <v>0</v>
      </c>
      <c r="K46" s="340">
        <f t="shared" ref="K46:K51" si="42">J46/E46</f>
        <v>0</v>
      </c>
      <c r="L46" s="41"/>
      <c r="M46" s="341"/>
      <c r="N46" s="73"/>
      <c r="O46" s="43"/>
      <c r="P46" s="43"/>
      <c r="Q46" s="69"/>
      <c r="R46" s="70"/>
      <c r="S46" s="70"/>
    </row>
    <row r="47" spans="1:27" x14ac:dyDescent="0.25">
      <c r="A47" s="128">
        <f t="shared" si="36"/>
        <v>500</v>
      </c>
      <c r="B47" s="128">
        <f t="shared" si="37"/>
        <v>1000</v>
      </c>
      <c r="C47" s="43">
        <v>1202</v>
      </c>
      <c r="D47" s="43">
        <v>75</v>
      </c>
      <c r="E47" s="339">
        <f t="shared" si="38"/>
        <v>57.695999999999998</v>
      </c>
      <c r="F47" s="100">
        <f t="shared" si="39"/>
        <v>57.466000000000001</v>
      </c>
      <c r="G47" s="24">
        <v>10</v>
      </c>
      <c r="H47" s="24">
        <v>70</v>
      </c>
      <c r="I47" s="72">
        <f t="shared" si="40"/>
        <v>420</v>
      </c>
      <c r="J47" s="101">
        <f t="shared" si="41"/>
        <v>16.8</v>
      </c>
      <c r="K47" s="340">
        <f t="shared" si="42"/>
        <v>0.29118136439267889</v>
      </c>
      <c r="L47" s="41"/>
      <c r="M47" s="341">
        <f>I47/$I$47</f>
        <v>1</v>
      </c>
      <c r="N47" s="73"/>
      <c r="O47" s="43"/>
      <c r="P47" s="43"/>
      <c r="Z47" s="40">
        <v>100</v>
      </c>
      <c r="AA47" s="40">
        <f>Z47/400*600</f>
        <v>150</v>
      </c>
    </row>
    <row r="48" spans="1:27" x14ac:dyDescent="0.25">
      <c r="A48" s="128">
        <f t="shared" si="36"/>
        <v>1000</v>
      </c>
      <c r="B48" s="128">
        <f t="shared" si="37"/>
        <v>1000</v>
      </c>
      <c r="C48" s="43">
        <v>1249</v>
      </c>
      <c r="D48" s="43">
        <v>60</v>
      </c>
      <c r="E48" s="339">
        <f t="shared" si="38"/>
        <v>74.940000000000012</v>
      </c>
      <c r="F48" s="100">
        <f t="shared" si="39"/>
        <v>74.710000000000008</v>
      </c>
      <c r="G48" s="24">
        <v>10</v>
      </c>
      <c r="H48" s="24">
        <v>62</v>
      </c>
      <c r="I48" s="72">
        <f t="shared" si="40"/>
        <v>372</v>
      </c>
      <c r="J48" s="101">
        <f t="shared" si="41"/>
        <v>29.760000000000005</v>
      </c>
      <c r="K48" s="340">
        <f t="shared" si="42"/>
        <v>0.39711769415532427</v>
      </c>
      <c r="L48" s="41"/>
      <c r="M48" s="341">
        <f>I48/$I$47</f>
        <v>0.88571428571428568</v>
      </c>
      <c r="N48" s="73"/>
      <c r="O48" s="43"/>
      <c r="P48" s="43"/>
      <c r="Z48" s="40">
        <v>200</v>
      </c>
      <c r="AA48" s="40">
        <f>Z48/400*600</f>
        <v>300</v>
      </c>
    </row>
    <row r="49" spans="1:27" x14ac:dyDescent="0.25">
      <c r="A49" s="128">
        <f t="shared" si="36"/>
        <v>3000</v>
      </c>
      <c r="B49" s="128">
        <f t="shared" si="37"/>
        <v>1000</v>
      </c>
      <c r="C49" s="43">
        <v>2082</v>
      </c>
      <c r="D49" s="43">
        <v>60</v>
      </c>
      <c r="E49" s="339">
        <f t="shared" si="38"/>
        <v>124.92</v>
      </c>
      <c r="F49" s="100">
        <f t="shared" si="39"/>
        <v>124.69</v>
      </c>
      <c r="G49" s="24">
        <v>10</v>
      </c>
      <c r="H49" s="24">
        <v>49</v>
      </c>
      <c r="I49" s="72">
        <f t="shared" si="40"/>
        <v>294</v>
      </c>
      <c r="J49" s="101">
        <f t="shared" si="41"/>
        <v>70.56</v>
      </c>
      <c r="K49" s="340">
        <f t="shared" si="42"/>
        <v>0.56484149855907784</v>
      </c>
      <c r="L49" s="41"/>
      <c r="M49" s="341">
        <f>I49/$I$47</f>
        <v>0.7</v>
      </c>
      <c r="N49" s="73"/>
      <c r="O49" s="43"/>
      <c r="P49" s="43"/>
      <c r="Z49" s="40">
        <v>300</v>
      </c>
      <c r="AA49" s="40">
        <f>Z49/400*600</f>
        <v>450</v>
      </c>
    </row>
    <row r="50" spans="1:27" x14ac:dyDescent="0.25">
      <c r="A50" s="128">
        <f t="shared" si="36"/>
        <v>4000</v>
      </c>
      <c r="B50" s="128">
        <f t="shared" si="37"/>
        <v>1000</v>
      </c>
      <c r="C50" s="43">
        <v>1050</v>
      </c>
      <c r="D50" s="43">
        <v>30</v>
      </c>
      <c r="E50" s="339">
        <f t="shared" si="38"/>
        <v>126</v>
      </c>
      <c r="F50" s="100">
        <f t="shared" si="39"/>
        <v>125.77</v>
      </c>
      <c r="G50" s="24">
        <v>10</v>
      </c>
      <c r="H50" s="24">
        <v>40</v>
      </c>
      <c r="I50" s="72">
        <f t="shared" si="40"/>
        <v>240</v>
      </c>
      <c r="J50" s="101">
        <f t="shared" si="41"/>
        <v>76.800000000000011</v>
      </c>
      <c r="K50" s="340">
        <f t="shared" si="42"/>
        <v>0.60952380952380958</v>
      </c>
      <c r="L50" s="41"/>
      <c r="M50" s="341">
        <f>I50/$I$47</f>
        <v>0.5714285714285714</v>
      </c>
      <c r="N50" s="73"/>
      <c r="O50" s="43"/>
      <c r="P50" s="43"/>
      <c r="Z50" s="40">
        <v>400</v>
      </c>
      <c r="AA50" s="40">
        <f>Z50/400*600</f>
        <v>600</v>
      </c>
    </row>
    <row r="51" spans="1:27" x14ac:dyDescent="0.25">
      <c r="A51" s="128">
        <f t="shared" si="36"/>
        <v>5000</v>
      </c>
      <c r="B51" s="128">
        <f t="shared" si="37"/>
        <v>1000</v>
      </c>
      <c r="C51" s="43">
        <v>2568</v>
      </c>
      <c r="D51" s="43">
        <v>60</v>
      </c>
      <c r="E51" s="339">
        <f t="shared" si="38"/>
        <v>154.08000000000001</v>
      </c>
      <c r="F51" s="100">
        <f t="shared" si="39"/>
        <v>153.85000000000002</v>
      </c>
      <c r="G51" s="24">
        <v>15</v>
      </c>
      <c r="H51" s="24">
        <v>53</v>
      </c>
      <c r="I51" s="72">
        <f t="shared" si="40"/>
        <v>212</v>
      </c>
      <c r="J51" s="101">
        <f t="shared" si="41"/>
        <v>84.800000000000011</v>
      </c>
      <c r="K51" s="340">
        <f t="shared" si="42"/>
        <v>0.55036344755970923</v>
      </c>
      <c r="L51" s="41"/>
      <c r="M51" s="341">
        <f>I51/$I$47</f>
        <v>0.50476190476190474</v>
      </c>
      <c r="N51" s="73"/>
      <c r="O51" s="43"/>
      <c r="P51" s="43"/>
    </row>
    <row r="52" spans="1:27" x14ac:dyDescent="0.25">
      <c r="A52" s="43"/>
      <c r="B52" s="128"/>
      <c r="C52" s="41"/>
      <c r="D52" s="41"/>
      <c r="E52" s="41"/>
      <c r="F52" s="75"/>
      <c r="G52" s="41"/>
      <c r="H52" s="43"/>
      <c r="I52" s="76"/>
      <c r="J52" s="71"/>
      <c r="K52" s="41"/>
      <c r="L52" s="41"/>
      <c r="M52" s="341"/>
      <c r="N52" s="73"/>
      <c r="O52" s="43"/>
      <c r="P52" s="43"/>
    </row>
    <row r="53" spans="1:27" x14ac:dyDescent="0.25">
      <c r="A53" s="43"/>
      <c r="B53" s="74"/>
      <c r="C53" s="41"/>
      <c r="D53" s="41"/>
      <c r="E53" s="41"/>
      <c r="F53" s="41"/>
      <c r="G53" s="41"/>
      <c r="H53" s="43"/>
      <c r="I53" s="76"/>
      <c r="J53" s="71"/>
      <c r="K53" s="41"/>
      <c r="L53" s="41"/>
      <c r="M53" s="341"/>
      <c r="N53" s="73"/>
      <c r="O53" s="43"/>
      <c r="P53" s="43"/>
    </row>
    <row r="54" spans="1:27" x14ac:dyDescent="0.25">
      <c r="A54" s="43"/>
      <c r="B54" s="128"/>
      <c r="C54" s="41"/>
      <c r="D54" s="41"/>
      <c r="E54" s="41"/>
      <c r="F54" s="41"/>
      <c r="G54" s="41"/>
      <c r="H54" s="43"/>
      <c r="I54" s="76"/>
      <c r="J54" s="71"/>
      <c r="K54" s="41"/>
      <c r="L54" s="41"/>
      <c r="M54" s="341"/>
      <c r="N54" s="73"/>
      <c r="O54" s="43"/>
      <c r="P54" s="43"/>
    </row>
    <row r="55" spans="1:27" x14ac:dyDescent="0.25">
      <c r="A55" s="47"/>
      <c r="B55" s="128"/>
      <c r="C55" s="41"/>
      <c r="D55" s="41"/>
      <c r="E55" s="41"/>
      <c r="F55" s="41"/>
      <c r="G55" s="41"/>
      <c r="H55" s="43"/>
      <c r="I55" s="76"/>
      <c r="J55" s="71"/>
      <c r="K55" s="41"/>
      <c r="L55" s="41"/>
      <c r="M55" s="341"/>
      <c r="N55" s="73"/>
      <c r="O55" s="43"/>
      <c r="P55" s="43"/>
    </row>
    <row r="56" spans="1:27" x14ac:dyDescent="0.25">
      <c r="A56" s="71"/>
      <c r="B56" s="74"/>
      <c r="C56" s="41"/>
      <c r="D56" s="41"/>
      <c r="E56" s="41"/>
      <c r="F56" s="41"/>
      <c r="G56" s="41"/>
      <c r="H56" s="43"/>
      <c r="I56" s="76"/>
      <c r="J56" s="71"/>
      <c r="K56" s="41"/>
      <c r="L56" s="41"/>
      <c r="M56" s="341"/>
      <c r="N56" s="73"/>
      <c r="O56" s="43"/>
      <c r="P56" s="43"/>
    </row>
    <row r="57" spans="1:27" x14ac:dyDescent="0.25">
      <c r="A57" s="47"/>
      <c r="B57" s="128"/>
      <c r="C57" s="41"/>
      <c r="D57" s="41"/>
      <c r="E57" s="41"/>
      <c r="F57" s="41"/>
      <c r="G57" s="41"/>
      <c r="H57" s="43"/>
      <c r="I57" s="43"/>
      <c r="J57" s="47"/>
      <c r="K57" s="41"/>
      <c r="L57" s="41"/>
      <c r="M57" s="341"/>
      <c r="N57" s="73"/>
      <c r="O57" s="43"/>
      <c r="P57" s="43"/>
    </row>
    <row r="58" spans="1:27" x14ac:dyDescent="0.25">
      <c r="A58" s="47"/>
      <c r="B58" s="128"/>
      <c r="C58" s="41"/>
      <c r="D58" s="41"/>
      <c r="E58" s="41"/>
      <c r="F58" s="41"/>
      <c r="G58" s="340"/>
      <c r="H58" s="43"/>
      <c r="I58" s="43"/>
      <c r="J58" s="47"/>
      <c r="K58" s="41"/>
      <c r="L58" s="41"/>
      <c r="M58" s="341"/>
      <c r="N58" s="73"/>
      <c r="O58" s="43"/>
      <c r="P58" s="43"/>
    </row>
    <row r="59" spans="1:27" x14ac:dyDescent="0.25">
      <c r="A59" s="47"/>
      <c r="B59" s="128"/>
      <c r="C59" s="41"/>
      <c r="D59" s="41"/>
      <c r="E59" s="41"/>
      <c r="F59" s="41"/>
      <c r="G59" s="41"/>
      <c r="H59" s="43"/>
      <c r="I59" s="43"/>
      <c r="J59" s="47"/>
      <c r="K59" s="41"/>
      <c r="L59" s="41"/>
      <c r="M59" s="341"/>
      <c r="N59" s="73"/>
      <c r="O59" s="43"/>
      <c r="P59" s="43"/>
    </row>
    <row r="60" spans="1:27" x14ac:dyDescent="0.25">
      <c r="A60" s="47"/>
      <c r="B60" s="128"/>
      <c r="C60" s="41"/>
      <c r="D60" s="41"/>
      <c r="E60" s="41"/>
      <c r="F60" s="41"/>
      <c r="G60" s="41"/>
      <c r="H60" s="43"/>
      <c r="I60" s="43"/>
      <c r="J60" s="47"/>
      <c r="K60" s="41"/>
      <c r="L60" s="41"/>
      <c r="M60" s="341"/>
      <c r="N60" s="73"/>
      <c r="O60" s="43"/>
      <c r="P60" s="43"/>
    </row>
    <row r="61" spans="1:27" x14ac:dyDescent="0.25">
      <c r="A61" s="47"/>
      <c r="B61" s="128"/>
      <c r="C61" s="41"/>
      <c r="D61" s="41"/>
      <c r="E61" s="41"/>
      <c r="F61" s="41"/>
      <c r="G61" s="41"/>
      <c r="H61" s="43"/>
      <c r="I61" s="43"/>
      <c r="J61" s="47"/>
      <c r="K61" s="41"/>
      <c r="L61" s="41"/>
      <c r="M61" s="341"/>
      <c r="N61" s="73"/>
      <c r="O61" s="43"/>
      <c r="P61" s="43"/>
    </row>
    <row r="63" spans="1:27" x14ac:dyDescent="0.25">
      <c r="L63" s="80" t="s">
        <v>18</v>
      </c>
      <c r="M63" s="332"/>
      <c r="N63" s="335" t="s">
        <v>345</v>
      </c>
    </row>
    <row r="64" spans="1:27" x14ac:dyDescent="0.25">
      <c r="K64" s="79" t="s">
        <v>205</v>
      </c>
      <c r="L64" s="81">
        <f>B11</f>
        <v>100</v>
      </c>
      <c r="M64" s="80">
        <f>B18</f>
        <v>200</v>
      </c>
      <c r="N64" s="80">
        <f>B25</f>
        <v>400</v>
      </c>
      <c r="O64" s="80">
        <f>B32</f>
        <v>600</v>
      </c>
      <c r="P64" s="80">
        <f>B39</f>
        <v>800</v>
      </c>
      <c r="Q64" s="80">
        <f>B46</f>
        <v>1000</v>
      </c>
    </row>
    <row r="65" spans="1:18" x14ac:dyDescent="0.25">
      <c r="K65" s="82">
        <f t="shared" ref="K65:K70" si="43">Q3</f>
        <v>0</v>
      </c>
      <c r="L65" s="344">
        <f t="shared" ref="L65:L70" si="44">I11</f>
        <v>44</v>
      </c>
      <c r="M65" s="93">
        <f t="shared" ref="M65:M70" si="45">I18</f>
        <v>87</v>
      </c>
      <c r="N65" s="93">
        <f t="shared" ref="N65:N70" si="46">I25</f>
        <v>176</v>
      </c>
      <c r="O65" s="93">
        <f t="shared" ref="O65:O70" si="47">I32</f>
        <v>276</v>
      </c>
      <c r="P65" s="93">
        <f t="shared" ref="P65:P70" si="48">I39</f>
        <v>372</v>
      </c>
      <c r="Q65" s="93">
        <f t="shared" ref="Q65:Q70" si="49">I46</f>
        <v>468</v>
      </c>
    </row>
    <row r="66" spans="1:18" x14ac:dyDescent="0.25">
      <c r="K66" s="82">
        <f t="shared" si="43"/>
        <v>500</v>
      </c>
      <c r="L66" s="344">
        <f t="shared" si="44"/>
        <v>40</v>
      </c>
      <c r="M66" s="93">
        <f t="shared" si="45"/>
        <v>78</v>
      </c>
      <c r="N66" s="93">
        <f t="shared" si="46"/>
        <v>156</v>
      </c>
      <c r="O66" s="93">
        <f t="shared" si="47"/>
        <v>256</v>
      </c>
      <c r="P66" s="93">
        <f t="shared" si="48"/>
        <v>336</v>
      </c>
      <c r="Q66" s="93">
        <f t="shared" si="49"/>
        <v>420</v>
      </c>
    </row>
    <row r="67" spans="1:18" x14ac:dyDescent="0.25">
      <c r="K67" s="82">
        <f t="shared" si="43"/>
        <v>1000</v>
      </c>
      <c r="L67" s="344">
        <f t="shared" si="44"/>
        <v>37</v>
      </c>
      <c r="M67" s="93">
        <f t="shared" si="45"/>
        <v>73</v>
      </c>
      <c r="N67" s="93">
        <f t="shared" si="46"/>
        <v>148</v>
      </c>
      <c r="O67" s="93">
        <f t="shared" si="47"/>
        <v>240</v>
      </c>
      <c r="P67" s="93">
        <f t="shared" si="48"/>
        <v>308</v>
      </c>
      <c r="Q67" s="93">
        <f t="shared" si="49"/>
        <v>372</v>
      </c>
    </row>
    <row r="68" spans="1:18" x14ac:dyDescent="0.25">
      <c r="K68" s="82">
        <f t="shared" si="43"/>
        <v>3000</v>
      </c>
      <c r="L68" s="344">
        <f t="shared" si="44"/>
        <v>30</v>
      </c>
      <c r="M68" s="93">
        <f t="shared" si="45"/>
        <v>62</v>
      </c>
      <c r="N68" s="93">
        <f t="shared" si="46"/>
        <v>116</v>
      </c>
      <c r="O68" s="93">
        <f t="shared" si="47"/>
        <v>184</v>
      </c>
      <c r="P68" s="93">
        <f t="shared" si="48"/>
        <v>236</v>
      </c>
      <c r="Q68" s="93">
        <f t="shared" si="49"/>
        <v>294</v>
      </c>
    </row>
    <row r="69" spans="1:18" x14ac:dyDescent="0.25">
      <c r="K69" s="82">
        <f t="shared" si="43"/>
        <v>4000</v>
      </c>
      <c r="L69" s="344">
        <f t="shared" si="44"/>
        <v>26</v>
      </c>
      <c r="M69" s="93">
        <f t="shared" si="45"/>
        <v>54</v>
      </c>
      <c r="N69" s="93">
        <f t="shared" si="46"/>
        <v>102.27272727272727</v>
      </c>
      <c r="O69" s="93">
        <f t="shared" si="47"/>
        <v>152</v>
      </c>
      <c r="P69" s="93">
        <f t="shared" si="48"/>
        <v>200</v>
      </c>
      <c r="Q69" s="93">
        <f t="shared" si="49"/>
        <v>240</v>
      </c>
    </row>
    <row r="70" spans="1:18" x14ac:dyDescent="0.25">
      <c r="K70" s="82">
        <f t="shared" si="43"/>
        <v>5000</v>
      </c>
      <c r="L70" s="344">
        <f t="shared" si="44"/>
        <v>23</v>
      </c>
      <c r="M70" s="93">
        <f t="shared" si="45"/>
        <v>46</v>
      </c>
      <c r="N70" s="93">
        <f t="shared" si="46"/>
        <v>96</v>
      </c>
      <c r="O70" s="93">
        <f t="shared" si="47"/>
        <v>146</v>
      </c>
      <c r="P70" s="93">
        <f t="shared" si="48"/>
        <v>168</v>
      </c>
      <c r="Q70" s="93">
        <f t="shared" si="49"/>
        <v>212</v>
      </c>
    </row>
    <row r="71" spans="1:18" x14ac:dyDescent="0.25">
      <c r="K71" s="83"/>
      <c r="M71" s="332"/>
    </row>
    <row r="72" spans="1:18" x14ac:dyDescent="0.25">
      <c r="K72" s="335">
        <f>B80</f>
        <v>40</v>
      </c>
      <c r="L72" s="40">
        <f t="shared" ref="L72:Q72" si="50">_xlfn.FORECAST.LINEAR($B$80,L65:L70,$K$65:$K$70)</f>
        <v>42.22626746506986</v>
      </c>
      <c r="M72" s="40">
        <f t="shared" si="50"/>
        <v>83.182115768463078</v>
      </c>
      <c r="N72" s="40">
        <f t="shared" si="50"/>
        <v>166.68251134095445</v>
      </c>
      <c r="O72" s="40">
        <f t="shared" si="50"/>
        <v>268.65676646706589</v>
      </c>
      <c r="P72" s="40">
        <f t="shared" si="50"/>
        <v>356.91784431137722</v>
      </c>
      <c r="Q72" s="40">
        <f t="shared" si="50"/>
        <v>443.32471057884231</v>
      </c>
      <c r="R72" s="335" t="s">
        <v>28</v>
      </c>
    </row>
    <row r="73" spans="1:18" x14ac:dyDescent="0.25">
      <c r="J73" s="335" t="s">
        <v>28</v>
      </c>
      <c r="K73" s="94">
        <f>B79</f>
        <v>100</v>
      </c>
      <c r="L73" s="95">
        <f>_xlfn.FORECAST.LINEAR(K73,L64:Q64,L72:Q72)</f>
        <v>235.70623249641858</v>
      </c>
      <c r="M73" s="332" t="s">
        <v>18</v>
      </c>
    </row>
    <row r="77" spans="1:18" x14ac:dyDescent="0.25">
      <c r="A77" s="49" t="s">
        <v>346</v>
      </c>
      <c r="B77" s="77">
        <v>1670</v>
      </c>
      <c r="C77" s="40" t="s">
        <v>28</v>
      </c>
      <c r="M77" s="332"/>
    </row>
    <row r="78" spans="1:18" x14ac:dyDescent="0.25">
      <c r="B78" s="77">
        <v>1000</v>
      </c>
      <c r="C78" s="40" t="s">
        <v>18</v>
      </c>
      <c r="M78" s="332"/>
    </row>
    <row r="79" spans="1:18" x14ac:dyDescent="0.25">
      <c r="A79" s="40" t="s">
        <v>349</v>
      </c>
      <c r="B79" s="78">
        <f>Q</f>
        <v>100</v>
      </c>
      <c r="C79" s="40" t="s">
        <v>28</v>
      </c>
      <c r="M79" s="332"/>
    </row>
    <row r="80" spans="1:18" x14ac:dyDescent="0.25">
      <c r="A80" s="40" t="s">
        <v>350</v>
      </c>
      <c r="B80" s="78">
        <f>Pavg</f>
        <v>40</v>
      </c>
      <c r="C80" s="40">
        <v>1000</v>
      </c>
      <c r="D80" s="40" t="s">
        <v>351</v>
      </c>
      <c r="M80" s="332"/>
    </row>
    <row r="81" spans="1:10" x14ac:dyDescent="0.25">
      <c r="A81" s="40" t="s">
        <v>352</v>
      </c>
      <c r="B81" s="77">
        <v>0</v>
      </c>
      <c r="C81" s="40" t="s">
        <v>353</v>
      </c>
      <c r="E81" s="40" t="s">
        <v>354</v>
      </c>
    </row>
    <row r="82" spans="1:10" x14ac:dyDescent="0.25">
      <c r="A82" s="40" t="s">
        <v>355</v>
      </c>
      <c r="B82" s="77">
        <f>L73</f>
        <v>235.70623249641858</v>
      </c>
    </row>
    <row r="83" spans="1:10" x14ac:dyDescent="0.25">
      <c r="A83" s="40" t="s">
        <v>356</v>
      </c>
      <c r="B83" s="77">
        <f>(1+(B80/C80*B81))*B82</f>
        <v>235.70623249641858</v>
      </c>
    </row>
    <row r="84" spans="1:10" x14ac:dyDescent="0.25">
      <c r="A84" s="40" t="s">
        <v>357</v>
      </c>
    </row>
    <row r="85" spans="1:10" x14ac:dyDescent="0.25">
      <c r="A85" s="79" t="s">
        <v>205</v>
      </c>
      <c r="E85" s="335" t="s">
        <v>358</v>
      </c>
      <c r="H85" s="40" t="s">
        <v>359</v>
      </c>
    </row>
    <row r="86" spans="1:10" x14ac:dyDescent="0.25">
      <c r="A86" s="80" t="s">
        <v>18</v>
      </c>
      <c r="B86" s="77">
        <v>0.1</v>
      </c>
      <c r="C86" s="81">
        <f>B11</f>
        <v>100</v>
      </c>
      <c r="D86" s="80">
        <f>B18</f>
        <v>200</v>
      </c>
      <c r="E86" s="80">
        <f>B25</f>
        <v>400</v>
      </c>
      <c r="F86" s="80">
        <f>B32</f>
        <v>600</v>
      </c>
      <c r="G86" s="80">
        <f>B39</f>
        <v>800</v>
      </c>
      <c r="H86" s="80">
        <f>B46</f>
        <v>1000</v>
      </c>
      <c r="I86" s="40">
        <f>H86*10</f>
        <v>10000</v>
      </c>
    </row>
    <row r="87" spans="1:10" x14ac:dyDescent="0.25">
      <c r="A87" s="82">
        <f>Q3</f>
        <v>0</v>
      </c>
      <c r="B87" s="77">
        <f t="shared" ref="B87:B92" si="51">$J$7</f>
        <v>0.22999999999999998</v>
      </c>
      <c r="C87" s="41">
        <f>F11</f>
        <v>7.17</v>
      </c>
      <c r="D87" s="43">
        <f>F18</f>
        <v>8.4499999999999993</v>
      </c>
      <c r="E87" s="43">
        <f t="shared" ref="E87:E92" si="52">F25</f>
        <v>18.579999999999998</v>
      </c>
      <c r="F87" s="43">
        <f t="shared" ref="F87:F92" si="53">F32</f>
        <v>24.58</v>
      </c>
      <c r="G87" s="43">
        <f t="shared" ref="G87:G92" si="54">F39</f>
        <v>31.119999999999997</v>
      </c>
      <c r="H87" s="43">
        <f t="shared" ref="H87:H92" si="55">F46</f>
        <v>40.870000000000005</v>
      </c>
      <c r="I87" s="40">
        <f t="shared" ref="I87:I92" si="56">H87*10</f>
        <v>408.70000000000005</v>
      </c>
      <c r="J87" s="94">
        <f t="shared" ref="J87:J92" ca="1" si="57">_xlfn.FORECAST.LINEAR(__RPM1,OFFSET(B87:H87,0,MATCH(__RPM1,$B$86:$H$86,1)-1,1,2),OFFSET($B$86:$H$86,0,MATCH(__RPM1,$B$86:$H$86,1)-1,1,2))</f>
        <v>10.258520675943601</v>
      </c>
    </row>
    <row r="88" spans="1:10" x14ac:dyDescent="0.25">
      <c r="A88" s="82">
        <f>Q4</f>
        <v>500</v>
      </c>
      <c r="B88" s="77">
        <f t="shared" si="51"/>
        <v>0.22999999999999998</v>
      </c>
      <c r="C88" s="41">
        <f>E12</f>
        <v>9.58</v>
      </c>
      <c r="D88" s="43">
        <f>E19</f>
        <v>13.68</v>
      </c>
      <c r="E88" s="43">
        <f t="shared" si="52"/>
        <v>27.07</v>
      </c>
      <c r="F88" s="43">
        <f t="shared" si="53"/>
        <v>35.470000000000006</v>
      </c>
      <c r="G88" s="43">
        <f t="shared" si="54"/>
        <v>46.42</v>
      </c>
      <c r="H88" s="43">
        <f t="shared" si="55"/>
        <v>57.466000000000001</v>
      </c>
      <c r="I88" s="40">
        <f t="shared" si="56"/>
        <v>574.66</v>
      </c>
      <c r="J88" s="94">
        <f t="shared" ca="1" si="57"/>
        <v>16.070532265635226</v>
      </c>
    </row>
    <row r="89" spans="1:10" x14ac:dyDescent="0.25">
      <c r="A89" s="82">
        <f>Q5</f>
        <v>1000</v>
      </c>
      <c r="B89" s="77">
        <f t="shared" si="51"/>
        <v>0.22999999999999998</v>
      </c>
      <c r="C89" s="41">
        <f>E13</f>
        <v>12</v>
      </c>
      <c r="D89" s="43">
        <f>E20</f>
        <v>18.759999999999998</v>
      </c>
      <c r="E89" s="43">
        <f t="shared" si="52"/>
        <v>34.270000000000003</v>
      </c>
      <c r="F89" s="43">
        <f t="shared" si="53"/>
        <v>47.02</v>
      </c>
      <c r="G89" s="43">
        <f t="shared" si="54"/>
        <v>61.87</v>
      </c>
      <c r="H89" s="43">
        <f t="shared" si="55"/>
        <v>74.710000000000008</v>
      </c>
      <c r="I89" s="40">
        <f t="shared" si="56"/>
        <v>747.10000000000014</v>
      </c>
      <c r="J89" s="94">
        <f t="shared" ca="1" si="57"/>
        <v>21.529018330097259</v>
      </c>
    </row>
    <row r="90" spans="1:10" x14ac:dyDescent="0.25">
      <c r="A90" s="82">
        <f>Q6</f>
        <v>3000</v>
      </c>
      <c r="B90" s="77">
        <f t="shared" si="51"/>
        <v>0.22999999999999998</v>
      </c>
      <c r="C90" s="41">
        <f>E14</f>
        <v>21</v>
      </c>
      <c r="D90" s="43">
        <f>E21</f>
        <v>41.32</v>
      </c>
      <c r="E90" s="43">
        <f t="shared" si="52"/>
        <v>64.27</v>
      </c>
      <c r="F90" s="43">
        <f t="shared" si="53"/>
        <v>81.739230769230758</v>
      </c>
      <c r="G90" s="43">
        <f t="shared" si="54"/>
        <v>101.05</v>
      </c>
      <c r="H90" s="43">
        <f t="shared" si="55"/>
        <v>124.69</v>
      </c>
      <c r="I90" s="40">
        <f t="shared" si="56"/>
        <v>1246.9000000000001</v>
      </c>
      <c r="J90" s="94">
        <f t="shared" ca="1" si="57"/>
        <v>45.417290178964031</v>
      </c>
    </row>
    <row r="91" spans="1:10" x14ac:dyDescent="0.25">
      <c r="A91" s="82">
        <f>Q7</f>
        <v>4000</v>
      </c>
      <c r="B91" s="77">
        <f t="shared" si="51"/>
        <v>0.22999999999999998</v>
      </c>
      <c r="C91" s="41">
        <f>E15</f>
        <v>25.1</v>
      </c>
      <c r="D91" s="43">
        <f>E22</f>
        <v>46.28</v>
      </c>
      <c r="E91" s="43">
        <f t="shared" si="52"/>
        <v>72.67</v>
      </c>
      <c r="F91" s="43">
        <f t="shared" si="53"/>
        <v>91.749999999999986</v>
      </c>
      <c r="G91" s="43">
        <f t="shared" si="54"/>
        <v>116.95</v>
      </c>
      <c r="H91" s="43">
        <f t="shared" si="55"/>
        <v>125.77</v>
      </c>
      <c r="I91" s="40">
        <f t="shared" si="56"/>
        <v>1257.7</v>
      </c>
      <c r="J91" s="94">
        <f t="shared" ca="1" si="57"/>
        <v>50.991437377902436</v>
      </c>
    </row>
    <row r="92" spans="1:10" x14ac:dyDescent="0.25">
      <c r="A92" s="82">
        <f>Q8+0.1</f>
        <v>5000.1000000000004</v>
      </c>
      <c r="B92" s="77">
        <f t="shared" si="51"/>
        <v>0.22999999999999998</v>
      </c>
      <c r="C92" s="41">
        <f>E16</f>
        <v>26.36</v>
      </c>
      <c r="D92" s="43">
        <f>E23</f>
        <v>49</v>
      </c>
      <c r="E92" s="43">
        <f t="shared" si="52"/>
        <v>78.789999999999992</v>
      </c>
      <c r="F92" s="43">
        <f t="shared" si="53"/>
        <v>101.13842105263157</v>
      </c>
      <c r="G92" s="43">
        <f t="shared" si="54"/>
        <v>124.27000000000001</v>
      </c>
      <c r="H92" s="43">
        <f t="shared" si="55"/>
        <v>153.85000000000002</v>
      </c>
      <c r="I92" s="40">
        <f t="shared" si="56"/>
        <v>1538.5000000000002</v>
      </c>
      <c r="J92" s="94">
        <f t="shared" ca="1" si="57"/>
        <v>54.318443330341552</v>
      </c>
    </row>
    <row r="95" spans="1:10" x14ac:dyDescent="0.25">
      <c r="A95" s="40" t="s">
        <v>360</v>
      </c>
      <c r="B95" s="84">
        <f>B83</f>
        <v>235.70623249641858</v>
      </c>
      <c r="C95" s="40" t="s">
        <v>18</v>
      </c>
    </row>
    <row r="96" spans="1:10" x14ac:dyDescent="0.25">
      <c r="A96" s="40" t="s">
        <v>361</v>
      </c>
      <c r="B96" s="84">
        <f>B80</f>
        <v>40</v>
      </c>
      <c r="C96" s="40" t="s">
        <v>97</v>
      </c>
    </row>
    <row r="97" spans="1:3" x14ac:dyDescent="0.25">
      <c r="A97" s="40" t="s">
        <v>362</v>
      </c>
      <c r="B97" s="85">
        <f ca="1">_xlfn.FORECAST.LINEAR(Press1,OFFSET(J87:J92,MATCH(Press1,A87:A92,1)-1,0,2),OFFSET(A87:A92,MATCH(Press1,A87:A92,1)-1,0,2))</f>
        <v>10.72348160311893</v>
      </c>
      <c r="C97" s="40" t="s">
        <v>19</v>
      </c>
    </row>
  </sheetData>
  <mergeCells count="3">
    <mergeCell ref="C9:E9"/>
    <mergeCell ref="F9:H9"/>
    <mergeCell ref="L9:N9"/>
  </mergeCells>
  <pageMargins left="0.70866141732283472" right="0.70866141732283472" top="0.74803149606299213" bottom="0.74803149606299213" header="0.31496062992125984" footer="0.31496062992125984"/>
  <pageSetup scale="63" orientation="landscape" r:id="rId1"/>
  <rowBreaks count="1" manualBreakCount="1">
    <brk id="54" max="1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3E7D9-7CDA-440A-B950-14E5A5F263E9}">
  <sheetPr codeName="Sheet6">
    <tabColor rgb="FF00B0F0"/>
  </sheetPr>
  <dimension ref="A1:AA97"/>
  <sheetViews>
    <sheetView topLeftCell="A54" workbookViewId="0">
      <selection activeCell="P84" sqref="P84"/>
    </sheetView>
  </sheetViews>
  <sheetFormatPr defaultColWidth="9.140625" defaultRowHeight="15" x14ac:dyDescent="0.25"/>
  <cols>
    <col min="1" max="1" width="14.7109375" style="40" customWidth="1"/>
    <col min="2" max="2" width="11.28515625" style="77" customWidth="1"/>
    <col min="3" max="3" width="12.42578125" style="40" customWidth="1"/>
    <col min="4" max="4" width="19.140625" style="40" customWidth="1"/>
    <col min="5" max="5" width="13.7109375" style="40" customWidth="1"/>
    <col min="6" max="6" width="14.85546875" style="40" customWidth="1"/>
    <col min="7" max="7" width="13.140625" style="40" customWidth="1"/>
    <col min="8" max="8" width="9.140625" style="40"/>
    <col min="9" max="9" width="12.140625" style="40" customWidth="1"/>
    <col min="10" max="10" width="10.5703125" style="40" customWidth="1"/>
    <col min="11" max="11" width="12" style="40" customWidth="1"/>
    <col min="12" max="12" width="9.140625" style="40" customWidth="1"/>
    <col min="13" max="13" width="9.140625" style="44"/>
    <col min="14" max="16384" width="9.140625" style="40"/>
  </cols>
  <sheetData>
    <row r="1" spans="1:27" x14ac:dyDescent="0.25">
      <c r="B1" s="41" t="s">
        <v>305</v>
      </c>
      <c r="C1" s="42">
        <v>44302</v>
      </c>
      <c r="D1" s="331" t="s">
        <v>367</v>
      </c>
      <c r="E1" s="43"/>
      <c r="F1" s="43"/>
      <c r="M1" s="332"/>
    </row>
    <row r="2" spans="1:27" ht="21" x14ac:dyDescent="0.35">
      <c r="A2" s="45" t="s">
        <v>368</v>
      </c>
      <c r="B2" s="46"/>
      <c r="C2" s="45"/>
      <c r="D2" s="45"/>
      <c r="E2" s="45"/>
      <c r="F2" s="45"/>
      <c r="G2" s="45"/>
      <c r="H2" s="45"/>
      <c r="I2" s="45"/>
      <c r="J2" s="45"/>
      <c r="K2" s="45"/>
      <c r="L2" s="45"/>
      <c r="M2" s="40"/>
      <c r="P2" s="47" t="s">
        <v>309</v>
      </c>
      <c r="Q2" s="49" t="s">
        <v>310</v>
      </c>
    </row>
    <row r="3" spans="1:27" x14ac:dyDescent="0.25">
      <c r="A3" s="47" t="s">
        <v>311</v>
      </c>
      <c r="B3" s="128"/>
      <c r="C3" s="128" t="s">
        <v>369</v>
      </c>
      <c r="D3" s="47"/>
      <c r="E3" s="47"/>
      <c r="F3" s="47"/>
      <c r="G3" s="48"/>
      <c r="H3" s="43"/>
      <c r="I3" s="49"/>
      <c r="K3" s="49"/>
      <c r="L3" s="49"/>
      <c r="M3" s="40"/>
      <c r="P3" s="47">
        <v>20</v>
      </c>
      <c r="Q3" s="47">
        <v>0</v>
      </c>
    </row>
    <row r="4" spans="1:27" x14ac:dyDescent="0.25">
      <c r="A4" s="128" t="s">
        <v>313</v>
      </c>
      <c r="B4" s="128"/>
      <c r="C4" s="128">
        <v>0.375</v>
      </c>
      <c r="D4" s="128"/>
      <c r="E4" s="128"/>
      <c r="F4" s="128"/>
      <c r="G4" s="51" t="s">
        <v>314</v>
      </c>
      <c r="H4" s="333" t="s">
        <v>315</v>
      </c>
      <c r="I4" s="182"/>
      <c r="J4" s="183" t="s">
        <v>19</v>
      </c>
      <c r="K4" s="184"/>
      <c r="L4" s="183"/>
      <c r="M4" s="334"/>
      <c r="N4" s="182"/>
      <c r="O4" s="47"/>
      <c r="P4" s="47">
        <f>(P$8-P$3)/5+P3</f>
        <v>136</v>
      </c>
      <c r="Q4" s="47">
        <v>100</v>
      </c>
    </row>
    <row r="5" spans="1:27" x14ac:dyDescent="0.25">
      <c r="A5" s="128" t="s">
        <v>317</v>
      </c>
      <c r="B5" s="128"/>
      <c r="C5" s="128">
        <v>25.9</v>
      </c>
      <c r="D5" s="128"/>
      <c r="E5" s="128"/>
      <c r="F5" s="128"/>
      <c r="G5" s="52" t="s">
        <v>318</v>
      </c>
      <c r="H5" s="185">
        <v>73.5</v>
      </c>
      <c r="I5" s="184"/>
      <c r="J5" s="182">
        <f>H5/1000*25</f>
        <v>1.8374999999999999</v>
      </c>
      <c r="K5" s="186" t="s">
        <v>319</v>
      </c>
      <c r="L5" s="182"/>
      <c r="M5" s="334"/>
      <c r="N5" s="182"/>
      <c r="O5" s="47"/>
      <c r="P5" s="47">
        <f>(P$8-P$3)/5+P4</f>
        <v>252</v>
      </c>
      <c r="Q5" s="47">
        <v>500</v>
      </c>
    </row>
    <row r="6" spans="1:27" x14ac:dyDescent="0.25">
      <c r="A6" s="128" t="s">
        <v>320</v>
      </c>
      <c r="B6" s="128"/>
      <c r="C6" s="128">
        <f>0.15</f>
        <v>0.15</v>
      </c>
      <c r="D6" s="128"/>
      <c r="E6" s="128"/>
      <c r="F6" s="128"/>
      <c r="G6" s="51" t="s">
        <v>321</v>
      </c>
      <c r="H6" s="185">
        <v>64.3</v>
      </c>
      <c r="I6" s="184"/>
      <c r="J6" s="182">
        <f>H6/1000*25</f>
        <v>1.6074999999999999</v>
      </c>
      <c r="K6" s="186" t="s">
        <v>319</v>
      </c>
      <c r="L6" s="182"/>
      <c r="M6" s="334"/>
      <c r="N6" s="182"/>
      <c r="O6" s="47"/>
      <c r="P6" s="47">
        <f>(P$8-P$3)/5+P5</f>
        <v>368</v>
      </c>
      <c r="Q6" s="47">
        <v>1000</v>
      </c>
    </row>
    <row r="7" spans="1:27" x14ac:dyDescent="0.25">
      <c r="A7" s="53" t="s">
        <v>322</v>
      </c>
      <c r="B7" s="128"/>
      <c r="C7" s="128" t="s">
        <v>370</v>
      </c>
      <c r="D7" s="128"/>
      <c r="E7" s="128"/>
      <c r="F7" s="128"/>
      <c r="H7" s="182"/>
      <c r="I7" s="182" t="s">
        <v>324</v>
      </c>
      <c r="J7" s="183">
        <f>J5-J6</f>
        <v>0.22999999999999998</v>
      </c>
      <c r="K7" s="183" t="s">
        <v>19</v>
      </c>
      <c r="L7" s="186" t="s">
        <v>325</v>
      </c>
      <c r="M7" s="334"/>
      <c r="N7" s="182"/>
      <c r="O7" s="47"/>
      <c r="P7" s="47">
        <f>(P$8-P$3)/5+P6</f>
        <v>484</v>
      </c>
      <c r="Q7" s="47">
        <v>2000</v>
      </c>
    </row>
    <row r="8" spans="1:27" ht="15.75" thickBot="1" x14ac:dyDescent="0.3">
      <c r="A8" s="53" t="s">
        <v>326</v>
      </c>
      <c r="B8" s="128"/>
      <c r="C8" s="126" t="s">
        <v>371</v>
      </c>
      <c r="D8" s="53"/>
      <c r="E8" s="53"/>
      <c r="F8" s="53"/>
      <c r="G8" s="40" t="s">
        <v>328</v>
      </c>
      <c r="J8" s="50"/>
      <c r="K8" s="50"/>
      <c r="L8" s="50"/>
      <c r="M8" s="336"/>
      <c r="O8" s="54"/>
      <c r="P8" s="54">
        <v>600</v>
      </c>
      <c r="Q8" s="71">
        <v>3000</v>
      </c>
    </row>
    <row r="9" spans="1:27" x14ac:dyDescent="0.25">
      <c r="A9" s="47" t="s">
        <v>205</v>
      </c>
      <c r="C9" s="394" t="s">
        <v>329</v>
      </c>
      <c r="D9" s="395"/>
      <c r="E9" s="396"/>
      <c r="F9" s="397" t="s">
        <v>330</v>
      </c>
      <c r="G9" s="397"/>
      <c r="H9" s="397"/>
      <c r="I9" s="55"/>
      <c r="J9" s="56" t="s">
        <v>332</v>
      </c>
      <c r="K9" s="57" t="s">
        <v>333</v>
      </c>
      <c r="L9" s="398"/>
      <c r="M9" s="399"/>
      <c r="N9" s="399"/>
      <c r="O9" s="58"/>
      <c r="P9" s="59"/>
      <c r="Z9" s="40">
        <v>10</v>
      </c>
      <c r="AA9" s="40">
        <f t="shared" ref="AA9:AA14" si="0">Z9/400*600</f>
        <v>15</v>
      </c>
    </row>
    <row r="10" spans="1:27" ht="15.75" thickBot="1" x14ac:dyDescent="0.3">
      <c r="A10" s="128" t="s">
        <v>8</v>
      </c>
      <c r="B10" s="128" t="s">
        <v>18</v>
      </c>
      <c r="C10" s="53" t="s">
        <v>335</v>
      </c>
      <c r="D10" s="50" t="s">
        <v>336</v>
      </c>
      <c r="E10" s="61" t="s">
        <v>19</v>
      </c>
      <c r="F10" s="62" t="s">
        <v>337</v>
      </c>
      <c r="G10" s="53" t="s">
        <v>338</v>
      </c>
      <c r="H10" s="53" t="s">
        <v>339</v>
      </c>
      <c r="I10" s="64" t="s">
        <v>340</v>
      </c>
      <c r="J10" s="60" t="s">
        <v>19</v>
      </c>
      <c r="K10" s="63" t="s">
        <v>341</v>
      </c>
      <c r="L10" s="63"/>
      <c r="M10" s="65" t="s">
        <v>342</v>
      </c>
      <c r="N10" s="66"/>
      <c r="O10" s="67"/>
      <c r="P10" s="68"/>
      <c r="Q10" s="69"/>
      <c r="R10" s="70"/>
      <c r="S10" s="70"/>
      <c r="Z10" s="40">
        <v>50</v>
      </c>
      <c r="AA10" s="40">
        <f t="shared" si="0"/>
        <v>75</v>
      </c>
    </row>
    <row r="11" spans="1:27" x14ac:dyDescent="0.25">
      <c r="A11" s="74">
        <f t="shared" ref="A11:A16" si="1">Q3</f>
        <v>0</v>
      </c>
      <c r="B11" s="128">
        <f t="shared" ref="B11:B16" si="2">P$3</f>
        <v>20</v>
      </c>
      <c r="C11" s="43"/>
      <c r="D11" s="43">
        <v>1</v>
      </c>
      <c r="E11" s="343">
        <f t="shared" ref="E11:E16" si="3">60/D11*C11/1000</f>
        <v>0</v>
      </c>
      <c r="F11" s="100">
        <f t="shared" ref="F11:F16" si="4">E11-$J$7</f>
        <v>-0.22999999999999998</v>
      </c>
      <c r="G11" s="24">
        <v>60</v>
      </c>
      <c r="H11" s="24">
        <v>7.5</v>
      </c>
      <c r="I11" s="72">
        <f t="shared" ref="I11:I16" si="5">60*H11/G11</f>
        <v>7.5</v>
      </c>
      <c r="J11" s="101">
        <f t="shared" ref="J11:J16" si="6">I11/100*A11/100*0.8</f>
        <v>0</v>
      </c>
      <c r="K11" s="340" t="e">
        <f t="shared" ref="K11:K16" si="7">J11/E11</f>
        <v>#DIV/0!</v>
      </c>
      <c r="L11" s="41"/>
      <c r="M11" s="341"/>
      <c r="N11" s="73"/>
      <c r="O11" s="43"/>
      <c r="P11" s="43"/>
      <c r="Q11" s="69"/>
      <c r="R11" s="70"/>
      <c r="S11" s="70"/>
    </row>
    <row r="12" spans="1:27" x14ac:dyDescent="0.25">
      <c r="A12" s="74">
        <f t="shared" si="1"/>
        <v>100</v>
      </c>
      <c r="B12" s="128">
        <f t="shared" si="2"/>
        <v>20</v>
      </c>
      <c r="C12" s="43">
        <v>78</v>
      </c>
      <c r="D12" s="43">
        <v>1</v>
      </c>
      <c r="E12" s="343">
        <f t="shared" si="3"/>
        <v>4.68</v>
      </c>
      <c r="F12" s="100">
        <f t="shared" si="4"/>
        <v>4.4499999999999993</v>
      </c>
      <c r="G12" s="24">
        <v>60</v>
      </c>
      <c r="H12" s="24">
        <v>7.5</v>
      </c>
      <c r="I12" s="72">
        <f t="shared" si="5"/>
        <v>7.5</v>
      </c>
      <c r="J12" s="101">
        <f t="shared" si="6"/>
        <v>0.06</v>
      </c>
      <c r="K12" s="340">
        <f t="shared" si="7"/>
        <v>1.282051282051282E-2</v>
      </c>
      <c r="L12" s="41"/>
      <c r="M12" s="341">
        <f>I12/$I$12</f>
        <v>1</v>
      </c>
      <c r="N12" s="73"/>
      <c r="O12" s="43"/>
      <c r="P12" s="43"/>
      <c r="Z12" s="40">
        <v>100</v>
      </c>
      <c r="AA12" s="40">
        <f t="shared" si="0"/>
        <v>150</v>
      </c>
    </row>
    <row r="13" spans="1:27" x14ac:dyDescent="0.25">
      <c r="A13" s="74">
        <f t="shared" si="1"/>
        <v>500</v>
      </c>
      <c r="B13" s="128">
        <f t="shared" si="2"/>
        <v>20</v>
      </c>
      <c r="C13" s="43">
        <v>85</v>
      </c>
      <c r="D13" s="43">
        <v>1</v>
      </c>
      <c r="E13" s="343">
        <f t="shared" si="3"/>
        <v>5.0999999999999996</v>
      </c>
      <c r="F13" s="100">
        <f t="shared" si="4"/>
        <v>4.8699999999999992</v>
      </c>
      <c r="G13" s="24">
        <v>60</v>
      </c>
      <c r="H13" s="24">
        <v>7.5</v>
      </c>
      <c r="I13" s="72">
        <f t="shared" si="5"/>
        <v>7.5</v>
      </c>
      <c r="J13" s="101">
        <f t="shared" si="6"/>
        <v>0.30000000000000004</v>
      </c>
      <c r="K13" s="340">
        <f t="shared" si="7"/>
        <v>5.8823529411764719E-2</v>
      </c>
      <c r="L13" s="41"/>
      <c r="M13" s="341">
        <f>I13/$I$12</f>
        <v>1</v>
      </c>
      <c r="N13" s="73"/>
      <c r="O13" s="43"/>
      <c r="P13" s="43"/>
      <c r="Z13" s="40">
        <v>200</v>
      </c>
      <c r="AA13" s="40">
        <f t="shared" si="0"/>
        <v>300</v>
      </c>
    </row>
    <row r="14" spans="1:27" x14ac:dyDescent="0.25">
      <c r="A14" s="74">
        <f t="shared" si="1"/>
        <v>1000</v>
      </c>
      <c r="B14" s="128">
        <f t="shared" si="2"/>
        <v>20</v>
      </c>
      <c r="C14" s="43">
        <v>101</v>
      </c>
      <c r="D14" s="43">
        <v>1</v>
      </c>
      <c r="E14" s="343">
        <f t="shared" si="3"/>
        <v>6.06</v>
      </c>
      <c r="F14" s="100">
        <f t="shared" si="4"/>
        <v>5.83</v>
      </c>
      <c r="G14" s="24">
        <v>60</v>
      </c>
      <c r="H14" s="24">
        <v>6.5</v>
      </c>
      <c r="I14" s="72">
        <f t="shared" si="5"/>
        <v>6.5</v>
      </c>
      <c r="J14" s="101">
        <f t="shared" si="6"/>
        <v>0.52</v>
      </c>
      <c r="K14" s="340">
        <f t="shared" si="7"/>
        <v>8.580858085808582E-2</v>
      </c>
      <c r="L14" s="41"/>
      <c r="M14" s="341">
        <f>I14/$I$12</f>
        <v>0.8666666666666667</v>
      </c>
      <c r="N14" s="73"/>
      <c r="O14" s="43"/>
      <c r="P14" s="43"/>
      <c r="Z14" s="40">
        <v>300</v>
      </c>
      <c r="AA14" s="40">
        <f t="shared" si="0"/>
        <v>450</v>
      </c>
    </row>
    <row r="15" spans="1:27" x14ac:dyDescent="0.25">
      <c r="A15" s="74">
        <f t="shared" si="1"/>
        <v>2000</v>
      </c>
      <c r="B15" s="128">
        <f t="shared" si="2"/>
        <v>20</v>
      </c>
      <c r="C15" s="43">
        <v>148</v>
      </c>
      <c r="D15" s="43">
        <v>1</v>
      </c>
      <c r="E15" s="343">
        <f t="shared" si="3"/>
        <v>8.8800000000000008</v>
      </c>
      <c r="F15" s="100">
        <f t="shared" si="4"/>
        <v>8.65</v>
      </c>
      <c r="G15" s="24">
        <v>60</v>
      </c>
      <c r="H15" s="24">
        <v>6</v>
      </c>
      <c r="I15" s="72">
        <f t="shared" si="5"/>
        <v>6</v>
      </c>
      <c r="J15" s="101">
        <f t="shared" si="6"/>
        <v>0.96</v>
      </c>
      <c r="K15" s="340">
        <f t="shared" si="7"/>
        <v>0.1081081081081081</v>
      </c>
      <c r="L15" s="41"/>
      <c r="M15" s="341">
        <f>I15/$I$12</f>
        <v>0.8</v>
      </c>
      <c r="N15" s="73"/>
      <c r="O15" s="43"/>
      <c r="P15" s="43"/>
      <c r="Z15" s="40">
        <v>400</v>
      </c>
      <c r="AA15" s="40">
        <f>Z15/400*600</f>
        <v>600</v>
      </c>
    </row>
    <row r="16" spans="1:27" x14ac:dyDescent="0.25">
      <c r="A16" s="74">
        <f t="shared" si="1"/>
        <v>3000</v>
      </c>
      <c r="B16" s="128">
        <f t="shared" si="2"/>
        <v>20</v>
      </c>
      <c r="C16" s="43">
        <v>207</v>
      </c>
      <c r="D16" s="43">
        <v>1</v>
      </c>
      <c r="E16" s="343">
        <f t="shared" si="3"/>
        <v>12.42</v>
      </c>
      <c r="F16" s="100">
        <f t="shared" si="4"/>
        <v>12.19</v>
      </c>
      <c r="G16" s="24">
        <v>60</v>
      </c>
      <c r="H16" s="24">
        <v>6</v>
      </c>
      <c r="I16" s="72">
        <f t="shared" si="5"/>
        <v>6</v>
      </c>
      <c r="J16" s="101">
        <f t="shared" si="6"/>
        <v>1.4400000000000002</v>
      </c>
      <c r="K16" s="340">
        <f t="shared" si="7"/>
        <v>0.11594202898550726</v>
      </c>
      <c r="L16" s="41"/>
      <c r="M16" s="341">
        <f>I16/$I$12</f>
        <v>0.8</v>
      </c>
      <c r="N16" s="73"/>
      <c r="O16" s="43"/>
      <c r="P16" s="43"/>
    </row>
    <row r="17" spans="1:27" x14ac:dyDescent="0.25">
      <c r="A17" s="74"/>
      <c r="B17" s="74"/>
      <c r="C17" s="43"/>
      <c r="D17" s="43"/>
      <c r="E17" s="343"/>
      <c r="F17" s="100"/>
      <c r="G17" s="24"/>
      <c r="H17" s="24"/>
      <c r="I17" s="72"/>
      <c r="J17" s="101"/>
      <c r="K17" s="41"/>
      <c r="L17" s="41"/>
      <c r="M17" s="341"/>
      <c r="N17" s="73"/>
      <c r="O17" s="43"/>
      <c r="P17" s="43"/>
    </row>
    <row r="18" spans="1:27" x14ac:dyDescent="0.25">
      <c r="A18" s="74">
        <f t="shared" ref="A18:A23" si="8">Q3</f>
        <v>0</v>
      </c>
      <c r="B18" s="74">
        <f t="shared" ref="B18:B23" si="9">P$4</f>
        <v>136</v>
      </c>
      <c r="C18" s="43">
        <v>187</v>
      </c>
      <c r="D18" s="43">
        <v>1</v>
      </c>
      <c r="E18" s="343">
        <f t="shared" ref="E18:E23" si="10">60/D18*C18/1000</f>
        <v>11.22</v>
      </c>
      <c r="F18" s="100">
        <f t="shared" ref="F18:F23" si="11">E18-$J$7</f>
        <v>10.99</v>
      </c>
      <c r="G18" s="24">
        <v>60</v>
      </c>
      <c r="H18" s="24">
        <v>46</v>
      </c>
      <c r="I18" s="72">
        <f t="shared" ref="I18:I23" si="12">60*H18/G18</f>
        <v>46</v>
      </c>
      <c r="J18" s="101">
        <f t="shared" ref="J18:J23" si="13">I18/100*A18/100*0.8</f>
        <v>0</v>
      </c>
      <c r="K18" s="340">
        <f t="shared" ref="K18:K23" si="14">J18/E18</f>
        <v>0</v>
      </c>
      <c r="L18" s="41"/>
      <c r="M18" s="341"/>
      <c r="N18" s="73"/>
      <c r="O18" s="43"/>
      <c r="P18" s="43"/>
      <c r="Q18" s="69"/>
      <c r="R18" s="70"/>
      <c r="S18" s="70"/>
    </row>
    <row r="19" spans="1:27" x14ac:dyDescent="0.25">
      <c r="A19" s="74">
        <f t="shared" si="8"/>
        <v>100</v>
      </c>
      <c r="B19" s="74">
        <f t="shared" si="9"/>
        <v>136</v>
      </c>
      <c r="C19" s="43">
        <v>206</v>
      </c>
      <c r="D19" s="43">
        <v>1</v>
      </c>
      <c r="E19" s="343">
        <f t="shared" si="10"/>
        <v>12.36</v>
      </c>
      <c r="F19" s="100">
        <f t="shared" si="11"/>
        <v>12.129999999999999</v>
      </c>
      <c r="G19" s="24">
        <v>60</v>
      </c>
      <c r="H19" s="24">
        <v>45</v>
      </c>
      <c r="I19" s="72">
        <f t="shared" si="12"/>
        <v>45</v>
      </c>
      <c r="J19" s="101">
        <f t="shared" si="13"/>
        <v>0.36000000000000004</v>
      </c>
      <c r="K19" s="340">
        <f t="shared" si="14"/>
        <v>2.9126213592233014E-2</v>
      </c>
      <c r="L19" s="41"/>
      <c r="M19" s="341">
        <f t="shared" ref="M19:M24" si="15">I19/$I$19</f>
        <v>1</v>
      </c>
      <c r="N19" s="73"/>
      <c r="O19" s="43"/>
      <c r="P19" s="43"/>
      <c r="Z19" s="40">
        <v>100</v>
      </c>
      <c r="AA19" s="40">
        <f>Z19/400*600</f>
        <v>150</v>
      </c>
    </row>
    <row r="20" spans="1:27" x14ac:dyDescent="0.25">
      <c r="A20" s="74">
        <f t="shared" si="8"/>
        <v>500</v>
      </c>
      <c r="B20" s="74">
        <f t="shared" si="9"/>
        <v>136</v>
      </c>
      <c r="C20" s="43">
        <v>233</v>
      </c>
      <c r="D20" s="43">
        <v>1</v>
      </c>
      <c r="E20" s="343">
        <f t="shared" si="10"/>
        <v>13.98</v>
      </c>
      <c r="F20" s="100">
        <f t="shared" si="11"/>
        <v>13.75</v>
      </c>
      <c r="G20" s="24">
        <v>60</v>
      </c>
      <c r="H20" s="24">
        <v>44</v>
      </c>
      <c r="I20" s="72">
        <f t="shared" si="12"/>
        <v>44</v>
      </c>
      <c r="J20" s="101">
        <f t="shared" si="13"/>
        <v>1.7600000000000002</v>
      </c>
      <c r="K20" s="340">
        <f t="shared" si="14"/>
        <v>0.12589413447782546</v>
      </c>
      <c r="L20" s="41"/>
      <c r="M20" s="341">
        <f t="shared" si="15"/>
        <v>0.97777777777777775</v>
      </c>
      <c r="N20" s="73"/>
      <c r="O20" s="43"/>
      <c r="P20" s="43"/>
      <c r="Z20" s="40">
        <v>200</v>
      </c>
      <c r="AA20" s="40">
        <f>Z20/400*600</f>
        <v>300</v>
      </c>
    </row>
    <row r="21" spans="1:27" x14ac:dyDescent="0.25">
      <c r="A21" s="74">
        <f t="shared" si="8"/>
        <v>1000</v>
      </c>
      <c r="B21" s="74">
        <f t="shared" si="9"/>
        <v>136</v>
      </c>
      <c r="C21" s="43">
        <v>264</v>
      </c>
      <c r="D21" s="43">
        <v>1</v>
      </c>
      <c r="E21" s="343">
        <f t="shared" si="10"/>
        <v>15.84</v>
      </c>
      <c r="F21" s="100">
        <f t="shared" si="11"/>
        <v>15.61</v>
      </c>
      <c r="G21" s="24">
        <v>60</v>
      </c>
      <c r="H21" s="24">
        <v>43</v>
      </c>
      <c r="I21" s="72">
        <f t="shared" si="12"/>
        <v>43</v>
      </c>
      <c r="J21" s="101">
        <f t="shared" si="13"/>
        <v>3.44</v>
      </c>
      <c r="K21" s="340">
        <f t="shared" si="14"/>
        <v>0.21717171717171718</v>
      </c>
      <c r="L21" s="41"/>
      <c r="M21" s="341">
        <f t="shared" si="15"/>
        <v>0.9555555555555556</v>
      </c>
      <c r="N21" s="73"/>
      <c r="O21" s="43"/>
      <c r="P21" s="43"/>
      <c r="Z21" s="40">
        <v>300</v>
      </c>
      <c r="AA21" s="40">
        <f>Z21/400*600</f>
        <v>450</v>
      </c>
    </row>
    <row r="22" spans="1:27" x14ac:dyDescent="0.25">
      <c r="A22" s="74">
        <f t="shared" si="8"/>
        <v>2000</v>
      </c>
      <c r="B22" s="74">
        <f t="shared" si="9"/>
        <v>136</v>
      </c>
      <c r="C22" s="43">
        <v>369</v>
      </c>
      <c r="D22" s="43">
        <v>1</v>
      </c>
      <c r="E22" s="343">
        <f t="shared" si="10"/>
        <v>22.14</v>
      </c>
      <c r="F22" s="100">
        <f t="shared" si="11"/>
        <v>21.91</v>
      </c>
      <c r="G22" s="24">
        <v>60</v>
      </c>
      <c r="H22" s="24">
        <v>42</v>
      </c>
      <c r="I22" s="72">
        <f t="shared" si="12"/>
        <v>42</v>
      </c>
      <c r="J22" s="101">
        <f t="shared" si="13"/>
        <v>6.7200000000000006</v>
      </c>
      <c r="K22" s="340">
        <f t="shared" si="14"/>
        <v>0.30352303523035234</v>
      </c>
      <c r="L22" s="41"/>
      <c r="M22" s="341">
        <f t="shared" si="15"/>
        <v>0.93333333333333335</v>
      </c>
      <c r="N22" s="73"/>
      <c r="O22" s="43"/>
      <c r="P22" s="43"/>
      <c r="Z22" s="40">
        <v>400</v>
      </c>
      <c r="AA22" s="40">
        <f>Z22/400*600</f>
        <v>600</v>
      </c>
    </row>
    <row r="23" spans="1:27" x14ac:dyDescent="0.25">
      <c r="A23" s="74">
        <f t="shared" si="8"/>
        <v>3000</v>
      </c>
      <c r="B23" s="74">
        <f t="shared" si="9"/>
        <v>136</v>
      </c>
      <c r="C23" s="43">
        <v>482</v>
      </c>
      <c r="D23" s="43">
        <v>1</v>
      </c>
      <c r="E23" s="343">
        <f t="shared" si="10"/>
        <v>28.92</v>
      </c>
      <c r="F23" s="100">
        <f t="shared" si="11"/>
        <v>28.69</v>
      </c>
      <c r="G23" s="24">
        <v>60</v>
      </c>
      <c r="H23" s="24">
        <v>40</v>
      </c>
      <c r="I23" s="72">
        <f t="shared" si="12"/>
        <v>40</v>
      </c>
      <c r="J23" s="101">
        <f t="shared" si="13"/>
        <v>9.6000000000000014</v>
      </c>
      <c r="K23" s="340">
        <f t="shared" si="14"/>
        <v>0.33195020746887971</v>
      </c>
      <c r="L23" s="41"/>
      <c r="M23" s="341">
        <f t="shared" si="15"/>
        <v>0.88888888888888884</v>
      </c>
      <c r="N23" s="73"/>
      <c r="O23" s="43"/>
      <c r="P23" s="43"/>
    </row>
    <row r="24" spans="1:27" x14ac:dyDescent="0.25">
      <c r="A24" s="128"/>
      <c r="B24" s="128"/>
      <c r="C24" s="43"/>
      <c r="D24" s="43"/>
      <c r="E24" s="343"/>
      <c r="F24" s="100"/>
      <c r="G24" s="24"/>
      <c r="H24" s="24"/>
      <c r="I24" s="72"/>
      <c r="J24" s="101"/>
      <c r="K24" s="41"/>
      <c r="L24" s="41"/>
      <c r="M24" s="341">
        <f t="shared" si="15"/>
        <v>0</v>
      </c>
      <c r="N24" s="73"/>
      <c r="O24" s="43"/>
      <c r="P24" s="43"/>
    </row>
    <row r="25" spans="1:27" x14ac:dyDescent="0.25">
      <c r="A25" s="128">
        <f t="shared" ref="A25:A30" si="16">Q3</f>
        <v>0</v>
      </c>
      <c r="B25" s="128">
        <f t="shared" ref="B25:B30" si="17">P$5</f>
        <v>252</v>
      </c>
      <c r="C25" s="43">
        <v>297</v>
      </c>
      <c r="D25" s="112">
        <v>1</v>
      </c>
      <c r="E25" s="343">
        <f t="shared" ref="E25:E30" si="18">60/D25*C25/1000</f>
        <v>17.82</v>
      </c>
      <c r="F25" s="100">
        <f t="shared" ref="F25:F30" si="19">E25-$J$7</f>
        <v>17.59</v>
      </c>
      <c r="G25" s="24">
        <v>60</v>
      </c>
      <c r="H25" s="24">
        <v>85</v>
      </c>
      <c r="I25" s="72">
        <f t="shared" ref="I25:I30" si="20">60*H25/G25</f>
        <v>85</v>
      </c>
      <c r="J25" s="101">
        <f t="shared" ref="J25:J30" si="21">I25/100*A25/100*0.8</f>
        <v>0</v>
      </c>
      <c r="K25" s="340">
        <f t="shared" ref="K25:K30" si="22">J25/E25</f>
        <v>0</v>
      </c>
      <c r="L25" s="41"/>
      <c r="M25" s="341"/>
      <c r="N25" s="73"/>
      <c r="O25" s="43"/>
      <c r="P25" s="43"/>
      <c r="Q25" s="69"/>
      <c r="R25" s="70"/>
      <c r="S25" s="70"/>
    </row>
    <row r="26" spans="1:27" x14ac:dyDescent="0.25">
      <c r="A26" s="128">
        <f t="shared" si="16"/>
        <v>100</v>
      </c>
      <c r="B26" s="128">
        <f t="shared" si="17"/>
        <v>252</v>
      </c>
      <c r="C26" s="43">
        <v>323</v>
      </c>
      <c r="D26" s="112">
        <v>1</v>
      </c>
      <c r="E26" s="343">
        <f t="shared" si="18"/>
        <v>19.38</v>
      </c>
      <c r="F26" s="100">
        <f t="shared" si="19"/>
        <v>19.149999999999999</v>
      </c>
      <c r="G26" s="24">
        <v>60</v>
      </c>
      <c r="H26" s="24">
        <v>83</v>
      </c>
      <c r="I26" s="72">
        <f t="shared" si="20"/>
        <v>83</v>
      </c>
      <c r="J26" s="101">
        <f t="shared" si="21"/>
        <v>0.66400000000000003</v>
      </c>
      <c r="K26" s="340">
        <f t="shared" si="22"/>
        <v>3.4262125902992782E-2</v>
      </c>
      <c r="L26" s="41"/>
      <c r="M26" s="341">
        <f>I26/$I$26</f>
        <v>1</v>
      </c>
      <c r="N26" s="73"/>
      <c r="O26" s="43"/>
      <c r="P26" s="43"/>
      <c r="Z26" s="40">
        <v>100</v>
      </c>
      <c r="AA26" s="40">
        <f>Z26/400*600</f>
        <v>150</v>
      </c>
    </row>
    <row r="27" spans="1:27" x14ac:dyDescent="0.25">
      <c r="A27" s="128">
        <f t="shared" si="16"/>
        <v>500</v>
      </c>
      <c r="B27" s="128">
        <f t="shared" si="17"/>
        <v>252</v>
      </c>
      <c r="C27" s="43">
        <v>369</v>
      </c>
      <c r="D27" s="112">
        <v>1</v>
      </c>
      <c r="E27" s="343">
        <f t="shared" si="18"/>
        <v>22.14</v>
      </c>
      <c r="F27" s="100">
        <f t="shared" si="19"/>
        <v>21.91</v>
      </c>
      <c r="G27" s="24">
        <v>60</v>
      </c>
      <c r="H27" s="24">
        <v>82</v>
      </c>
      <c r="I27" s="72">
        <f t="shared" si="20"/>
        <v>82</v>
      </c>
      <c r="J27" s="101">
        <f t="shared" si="21"/>
        <v>3.28</v>
      </c>
      <c r="K27" s="340">
        <f t="shared" si="22"/>
        <v>0.14814814814814814</v>
      </c>
      <c r="L27" s="41"/>
      <c r="M27" s="341">
        <f>I27/$I$26</f>
        <v>0.98795180722891562</v>
      </c>
      <c r="N27" s="73"/>
      <c r="O27" s="43"/>
      <c r="P27" s="43"/>
      <c r="Z27" s="40">
        <v>200</v>
      </c>
      <c r="AA27" s="40">
        <f>Z27/400*600</f>
        <v>300</v>
      </c>
    </row>
    <row r="28" spans="1:27" x14ac:dyDescent="0.25">
      <c r="A28" s="128">
        <f t="shared" si="16"/>
        <v>1000</v>
      </c>
      <c r="B28" s="128">
        <f t="shared" si="17"/>
        <v>252</v>
      </c>
      <c r="C28" s="43">
        <v>435</v>
      </c>
      <c r="D28" s="112">
        <v>1</v>
      </c>
      <c r="E28" s="343">
        <f t="shared" si="18"/>
        <v>26.1</v>
      </c>
      <c r="F28" s="100">
        <f t="shared" si="19"/>
        <v>25.87</v>
      </c>
      <c r="G28" s="24">
        <v>60</v>
      </c>
      <c r="H28" s="24">
        <v>80</v>
      </c>
      <c r="I28" s="72">
        <f t="shared" si="20"/>
        <v>80</v>
      </c>
      <c r="J28" s="101">
        <f t="shared" si="21"/>
        <v>6.4</v>
      </c>
      <c r="K28" s="340">
        <f t="shared" si="22"/>
        <v>0.24521072796934865</v>
      </c>
      <c r="L28" s="41"/>
      <c r="M28" s="341">
        <f>I28/$I$26</f>
        <v>0.96385542168674698</v>
      </c>
      <c r="N28" s="73"/>
      <c r="O28" s="43"/>
      <c r="P28" s="43"/>
      <c r="Z28" s="40">
        <v>300</v>
      </c>
      <c r="AA28" s="40">
        <f>Z28/400*600</f>
        <v>450</v>
      </c>
    </row>
    <row r="29" spans="1:27" x14ac:dyDescent="0.25">
      <c r="A29" s="128">
        <f t="shared" si="16"/>
        <v>2000</v>
      </c>
      <c r="B29" s="128">
        <f t="shared" si="17"/>
        <v>252</v>
      </c>
      <c r="C29" s="43">
        <v>584</v>
      </c>
      <c r="D29" s="112">
        <v>1</v>
      </c>
      <c r="E29" s="343">
        <f t="shared" si="18"/>
        <v>35.04</v>
      </c>
      <c r="F29" s="100">
        <f t="shared" si="19"/>
        <v>34.81</v>
      </c>
      <c r="G29" s="24">
        <v>60</v>
      </c>
      <c r="H29" s="24">
        <v>76</v>
      </c>
      <c r="I29" s="72">
        <f t="shared" si="20"/>
        <v>76</v>
      </c>
      <c r="J29" s="101">
        <f t="shared" si="21"/>
        <v>12.16</v>
      </c>
      <c r="K29" s="340">
        <f t="shared" si="22"/>
        <v>0.34703196347031967</v>
      </c>
      <c r="L29" s="41"/>
      <c r="M29" s="341">
        <f>I29/$I$26</f>
        <v>0.91566265060240959</v>
      </c>
      <c r="N29" s="73"/>
      <c r="O29" s="43"/>
      <c r="P29" s="43"/>
      <c r="Z29" s="40">
        <v>400</v>
      </c>
      <c r="AA29" s="40">
        <f>Z29/400*600</f>
        <v>600</v>
      </c>
    </row>
    <row r="30" spans="1:27" x14ac:dyDescent="0.25">
      <c r="A30" s="128">
        <f t="shared" si="16"/>
        <v>3000</v>
      </c>
      <c r="B30" s="128">
        <f t="shared" si="17"/>
        <v>252</v>
      </c>
      <c r="C30" s="43">
        <v>751</v>
      </c>
      <c r="D30" s="112">
        <v>1</v>
      </c>
      <c r="E30" s="343">
        <f t="shared" si="18"/>
        <v>45.06</v>
      </c>
      <c r="F30" s="100">
        <f t="shared" si="19"/>
        <v>44.830000000000005</v>
      </c>
      <c r="G30" s="24">
        <v>60</v>
      </c>
      <c r="H30" s="24">
        <v>75</v>
      </c>
      <c r="I30" s="72">
        <f t="shared" si="20"/>
        <v>75</v>
      </c>
      <c r="J30" s="101">
        <f t="shared" si="21"/>
        <v>18</v>
      </c>
      <c r="K30" s="340">
        <f t="shared" si="22"/>
        <v>0.39946737683089212</v>
      </c>
      <c r="L30" s="41"/>
      <c r="M30" s="341">
        <f>I30/$I$26</f>
        <v>0.90361445783132532</v>
      </c>
      <c r="N30" s="73"/>
      <c r="O30" s="43"/>
      <c r="P30" s="43"/>
    </row>
    <row r="31" spans="1:27" x14ac:dyDescent="0.25">
      <c r="A31" s="74"/>
      <c r="B31" s="128"/>
      <c r="C31" s="43"/>
      <c r="D31" s="43"/>
      <c r="E31" s="343"/>
      <c r="F31" s="100"/>
      <c r="G31" s="24"/>
      <c r="H31" s="24"/>
      <c r="I31" s="72"/>
      <c r="J31" s="101"/>
      <c r="K31" s="41"/>
      <c r="L31" s="41"/>
      <c r="M31" s="341"/>
      <c r="N31" s="73"/>
      <c r="O31" s="43"/>
      <c r="P31" s="43"/>
    </row>
    <row r="32" spans="1:27" x14ac:dyDescent="0.25">
      <c r="A32" s="128">
        <f t="shared" ref="A32:A37" si="23">Q3</f>
        <v>0</v>
      </c>
      <c r="B32" s="128">
        <f t="shared" ref="B32:B37" si="24">P$6</f>
        <v>368</v>
      </c>
      <c r="C32" s="43">
        <v>411</v>
      </c>
      <c r="D32" s="112">
        <v>1</v>
      </c>
      <c r="E32" s="343">
        <f t="shared" ref="E32:E37" si="25">60/D32*C32/1000</f>
        <v>24.66</v>
      </c>
      <c r="F32" s="100">
        <f t="shared" ref="F32:F37" si="26">E32-$J$7</f>
        <v>24.43</v>
      </c>
      <c r="G32" s="24">
        <v>60</v>
      </c>
      <c r="H32" s="24">
        <v>125</v>
      </c>
      <c r="I32" s="72">
        <f t="shared" ref="I32:I37" si="27">60*H32/G32</f>
        <v>125</v>
      </c>
      <c r="J32" s="101">
        <f t="shared" ref="J32:J37" si="28">I32/100*A32/100*0.8</f>
        <v>0</v>
      </c>
      <c r="K32" s="340">
        <f t="shared" ref="K32:K37" si="29">J32/E32</f>
        <v>0</v>
      </c>
      <c r="L32" s="41"/>
      <c r="M32" s="341"/>
      <c r="N32" s="73"/>
      <c r="O32" s="43"/>
      <c r="P32" s="43"/>
      <c r="Q32" s="69"/>
      <c r="R32" s="70"/>
      <c r="S32" s="70"/>
    </row>
    <row r="33" spans="1:27" x14ac:dyDescent="0.25">
      <c r="A33" s="128">
        <f t="shared" si="23"/>
        <v>100</v>
      </c>
      <c r="B33" s="128">
        <f t="shared" si="24"/>
        <v>368</v>
      </c>
      <c r="C33" s="43">
        <v>441</v>
      </c>
      <c r="D33" s="112">
        <v>1</v>
      </c>
      <c r="E33" s="343">
        <f t="shared" si="25"/>
        <v>26.46</v>
      </c>
      <c r="F33" s="100">
        <f t="shared" si="26"/>
        <v>26.23</v>
      </c>
      <c r="G33" s="24">
        <v>60</v>
      </c>
      <c r="H33" s="24">
        <v>125</v>
      </c>
      <c r="I33" s="72">
        <f t="shared" si="27"/>
        <v>125</v>
      </c>
      <c r="J33" s="101">
        <f t="shared" si="28"/>
        <v>1</v>
      </c>
      <c r="K33" s="340">
        <f t="shared" si="29"/>
        <v>3.779289493575208E-2</v>
      </c>
      <c r="L33" s="41"/>
      <c r="M33" s="341">
        <f>I33/$I$33</f>
        <v>1</v>
      </c>
      <c r="N33" s="73"/>
      <c r="O33" s="43"/>
      <c r="P33" s="43"/>
      <c r="Z33" s="40">
        <v>100</v>
      </c>
      <c r="AA33" s="40">
        <f>Z33/400*600</f>
        <v>150</v>
      </c>
    </row>
    <row r="34" spans="1:27" x14ac:dyDescent="0.25">
      <c r="A34" s="128">
        <f t="shared" si="23"/>
        <v>500</v>
      </c>
      <c r="B34" s="128">
        <f t="shared" si="24"/>
        <v>368</v>
      </c>
      <c r="C34" s="43">
        <v>498</v>
      </c>
      <c r="D34" s="112">
        <v>1</v>
      </c>
      <c r="E34" s="343">
        <f t="shared" si="25"/>
        <v>29.88</v>
      </c>
      <c r="F34" s="100">
        <f t="shared" si="26"/>
        <v>29.65</v>
      </c>
      <c r="G34" s="24">
        <v>60</v>
      </c>
      <c r="H34" s="24">
        <v>120</v>
      </c>
      <c r="I34" s="72">
        <f t="shared" si="27"/>
        <v>120</v>
      </c>
      <c r="J34" s="101">
        <f t="shared" si="28"/>
        <v>4.8000000000000007</v>
      </c>
      <c r="K34" s="340">
        <f t="shared" si="29"/>
        <v>0.16064257028112452</v>
      </c>
      <c r="L34" s="41"/>
      <c r="M34" s="341">
        <f>I34/$I$33</f>
        <v>0.96</v>
      </c>
      <c r="N34" s="73"/>
      <c r="O34" s="43"/>
      <c r="P34" s="43"/>
      <c r="Z34" s="40">
        <v>200</v>
      </c>
      <c r="AA34" s="40">
        <f>Z34/400*600</f>
        <v>300</v>
      </c>
    </row>
    <row r="35" spans="1:27" x14ac:dyDescent="0.25">
      <c r="A35" s="128">
        <f t="shared" si="23"/>
        <v>1000</v>
      </c>
      <c r="B35" s="128">
        <f t="shared" si="24"/>
        <v>368</v>
      </c>
      <c r="C35" s="43">
        <v>591</v>
      </c>
      <c r="D35" s="112">
        <v>1</v>
      </c>
      <c r="E35" s="343">
        <f t="shared" si="25"/>
        <v>35.46</v>
      </c>
      <c r="F35" s="100">
        <f t="shared" si="26"/>
        <v>35.230000000000004</v>
      </c>
      <c r="G35" s="24">
        <v>60</v>
      </c>
      <c r="H35" s="24">
        <v>120</v>
      </c>
      <c r="I35" s="72">
        <f t="shared" si="27"/>
        <v>120</v>
      </c>
      <c r="J35" s="101">
        <f t="shared" si="28"/>
        <v>9.6000000000000014</v>
      </c>
      <c r="K35" s="340">
        <f t="shared" si="29"/>
        <v>0.27072758037225048</v>
      </c>
      <c r="L35" s="41"/>
      <c r="M35" s="341">
        <f>I35/$I$33</f>
        <v>0.96</v>
      </c>
      <c r="N35" s="73"/>
      <c r="O35" s="43"/>
      <c r="P35" s="43"/>
      <c r="Z35" s="40">
        <v>300</v>
      </c>
      <c r="AA35" s="40">
        <f>Z35/400*600</f>
        <v>450</v>
      </c>
    </row>
    <row r="36" spans="1:27" x14ac:dyDescent="0.25">
      <c r="A36" s="128">
        <f t="shared" si="23"/>
        <v>2000</v>
      </c>
      <c r="B36" s="128">
        <f t="shared" si="24"/>
        <v>368</v>
      </c>
      <c r="C36" s="43">
        <v>815</v>
      </c>
      <c r="D36" s="112">
        <v>1</v>
      </c>
      <c r="E36" s="343">
        <f t="shared" si="25"/>
        <v>48.9</v>
      </c>
      <c r="F36" s="100">
        <f t="shared" si="26"/>
        <v>48.67</v>
      </c>
      <c r="G36" s="24">
        <v>60</v>
      </c>
      <c r="H36" s="24">
        <v>110</v>
      </c>
      <c r="I36" s="72">
        <f t="shared" si="27"/>
        <v>110</v>
      </c>
      <c r="J36" s="101">
        <f t="shared" si="28"/>
        <v>17.600000000000001</v>
      </c>
      <c r="K36" s="340">
        <f t="shared" si="29"/>
        <v>0.35991820040899797</v>
      </c>
      <c r="L36" s="41"/>
      <c r="M36" s="341">
        <f>I36/$I$33</f>
        <v>0.88</v>
      </c>
      <c r="N36" s="73"/>
      <c r="O36" s="43"/>
      <c r="P36" s="43"/>
      <c r="Z36" s="40">
        <v>400</v>
      </c>
      <c r="AA36" s="40">
        <f>Z36/400*600</f>
        <v>600</v>
      </c>
    </row>
    <row r="37" spans="1:27" x14ac:dyDescent="0.25">
      <c r="A37" s="128">
        <f t="shared" si="23"/>
        <v>3000</v>
      </c>
      <c r="B37" s="128">
        <f t="shared" si="24"/>
        <v>368</v>
      </c>
      <c r="C37" s="43">
        <v>1025</v>
      </c>
      <c r="D37" s="112">
        <v>1</v>
      </c>
      <c r="E37" s="343">
        <f t="shared" si="25"/>
        <v>61.5</v>
      </c>
      <c r="F37" s="100">
        <f t="shared" si="26"/>
        <v>61.27</v>
      </c>
      <c r="G37" s="24">
        <v>60</v>
      </c>
      <c r="H37" s="24">
        <v>110</v>
      </c>
      <c r="I37" s="72">
        <f t="shared" si="27"/>
        <v>110</v>
      </c>
      <c r="J37" s="101">
        <f t="shared" si="28"/>
        <v>26.400000000000006</v>
      </c>
      <c r="K37" s="340">
        <f t="shared" si="29"/>
        <v>0.42926829268292693</v>
      </c>
      <c r="L37" s="41"/>
      <c r="M37" s="341">
        <f>I37/$I$33</f>
        <v>0.88</v>
      </c>
      <c r="N37" s="73"/>
      <c r="O37" s="43"/>
      <c r="P37" s="43"/>
    </row>
    <row r="38" spans="1:27" x14ac:dyDescent="0.25">
      <c r="A38" s="128"/>
      <c r="B38" s="128"/>
      <c r="C38" s="43"/>
      <c r="D38" s="43"/>
      <c r="E38" s="343"/>
      <c r="F38" s="100"/>
      <c r="G38" s="24"/>
      <c r="H38" s="24"/>
      <c r="I38" s="72"/>
      <c r="J38" s="101"/>
      <c r="K38" s="41"/>
      <c r="L38" s="41"/>
      <c r="M38" s="341"/>
      <c r="N38" s="73"/>
      <c r="O38" s="43"/>
      <c r="P38" s="43"/>
    </row>
    <row r="39" spans="1:27" x14ac:dyDescent="0.25">
      <c r="A39" s="128">
        <f t="shared" ref="A39:A44" si="30">Q3</f>
        <v>0</v>
      </c>
      <c r="B39" s="128">
        <f t="shared" ref="B39:B44" si="31">P$7</f>
        <v>484</v>
      </c>
      <c r="C39" s="43">
        <v>526</v>
      </c>
      <c r="D39" s="112">
        <v>1</v>
      </c>
      <c r="E39" s="343">
        <f t="shared" ref="E39:E44" si="32">60/D39*C39/1000</f>
        <v>31.56</v>
      </c>
      <c r="F39" s="100">
        <f t="shared" ref="F39:F44" si="33">E39-$J$7</f>
        <v>31.33</v>
      </c>
      <c r="G39" s="24">
        <v>60</v>
      </c>
      <c r="H39" s="24">
        <v>165</v>
      </c>
      <c r="I39" s="72">
        <f t="shared" ref="I39:I44" si="34">60*H39/G39</f>
        <v>165</v>
      </c>
      <c r="J39" s="101">
        <f t="shared" ref="J39:J44" si="35">I39/100*A39/100*0.8</f>
        <v>0</v>
      </c>
      <c r="K39" s="340">
        <f t="shared" ref="K39:K44" si="36">J39/E39</f>
        <v>0</v>
      </c>
      <c r="L39" s="41"/>
      <c r="M39" s="341"/>
      <c r="N39" s="73"/>
      <c r="O39" s="43"/>
      <c r="P39" s="43"/>
      <c r="Q39" s="69"/>
      <c r="R39" s="70"/>
      <c r="S39" s="70"/>
    </row>
    <row r="40" spans="1:27" x14ac:dyDescent="0.25">
      <c r="A40" s="128">
        <f t="shared" si="30"/>
        <v>100</v>
      </c>
      <c r="B40" s="128">
        <f t="shared" si="31"/>
        <v>484</v>
      </c>
      <c r="C40" s="43">
        <v>574</v>
      </c>
      <c r="D40" s="112">
        <v>1</v>
      </c>
      <c r="E40" s="343">
        <f t="shared" si="32"/>
        <v>34.44</v>
      </c>
      <c r="F40" s="100">
        <f t="shared" si="33"/>
        <v>34.21</v>
      </c>
      <c r="G40" s="24">
        <v>60</v>
      </c>
      <c r="H40" s="24">
        <v>165</v>
      </c>
      <c r="I40" s="72">
        <f t="shared" si="34"/>
        <v>165</v>
      </c>
      <c r="J40" s="101">
        <f t="shared" si="35"/>
        <v>1.32</v>
      </c>
      <c r="K40" s="340">
        <f t="shared" si="36"/>
        <v>3.8327526132404185E-2</v>
      </c>
      <c r="L40" s="41"/>
      <c r="M40" s="341">
        <f>I40/$I$40</f>
        <v>1</v>
      </c>
      <c r="N40" s="73"/>
      <c r="O40" s="43"/>
      <c r="P40" s="43"/>
      <c r="Z40" s="40">
        <v>100</v>
      </c>
      <c r="AA40" s="40">
        <f>Z40/400*600</f>
        <v>150</v>
      </c>
    </row>
    <row r="41" spans="1:27" x14ac:dyDescent="0.25">
      <c r="A41" s="128">
        <f t="shared" si="30"/>
        <v>500</v>
      </c>
      <c r="B41" s="128">
        <f t="shared" si="31"/>
        <v>484</v>
      </c>
      <c r="C41" s="43">
        <v>658</v>
      </c>
      <c r="D41" s="112">
        <v>1</v>
      </c>
      <c r="E41" s="343">
        <f t="shared" si="32"/>
        <v>39.479999999999997</v>
      </c>
      <c r="F41" s="100">
        <f t="shared" si="33"/>
        <v>39.25</v>
      </c>
      <c r="G41" s="24">
        <v>60</v>
      </c>
      <c r="H41" s="24">
        <v>160</v>
      </c>
      <c r="I41" s="72">
        <f t="shared" si="34"/>
        <v>160</v>
      </c>
      <c r="J41" s="101">
        <f t="shared" si="35"/>
        <v>6.4</v>
      </c>
      <c r="K41" s="340">
        <f t="shared" si="36"/>
        <v>0.16210739614994937</v>
      </c>
      <c r="L41" s="41"/>
      <c r="M41" s="341">
        <f>I41/$I$40</f>
        <v>0.96969696969696972</v>
      </c>
      <c r="N41" s="73"/>
      <c r="O41" s="43"/>
      <c r="P41" s="43"/>
      <c r="Z41" s="40">
        <v>200</v>
      </c>
      <c r="AA41" s="40">
        <f>Z41/400*600</f>
        <v>300</v>
      </c>
    </row>
    <row r="42" spans="1:27" x14ac:dyDescent="0.25">
      <c r="A42" s="128">
        <f t="shared" si="30"/>
        <v>1000</v>
      </c>
      <c r="B42" s="128">
        <f t="shared" si="31"/>
        <v>484</v>
      </c>
      <c r="C42" s="43">
        <v>796</v>
      </c>
      <c r="D42" s="112">
        <v>1</v>
      </c>
      <c r="E42" s="343">
        <f t="shared" si="32"/>
        <v>47.76</v>
      </c>
      <c r="F42" s="100">
        <f t="shared" si="33"/>
        <v>47.53</v>
      </c>
      <c r="G42" s="24">
        <v>60</v>
      </c>
      <c r="H42" s="24">
        <v>155</v>
      </c>
      <c r="I42" s="72">
        <f t="shared" si="34"/>
        <v>155</v>
      </c>
      <c r="J42" s="101">
        <f t="shared" si="35"/>
        <v>12.4</v>
      </c>
      <c r="K42" s="340">
        <f t="shared" si="36"/>
        <v>0.25963149078726971</v>
      </c>
      <c r="L42" s="41"/>
      <c r="M42" s="341">
        <f>I42/$I$40</f>
        <v>0.93939393939393945</v>
      </c>
      <c r="N42" s="73"/>
      <c r="O42" s="43"/>
      <c r="P42" s="43"/>
      <c r="Z42" s="40">
        <v>300</v>
      </c>
      <c r="AA42" s="40">
        <f>Z42/400*600</f>
        <v>450</v>
      </c>
    </row>
    <row r="43" spans="1:27" x14ac:dyDescent="0.25">
      <c r="A43" s="128">
        <f t="shared" si="30"/>
        <v>2000</v>
      </c>
      <c r="B43" s="128">
        <f t="shared" si="31"/>
        <v>484</v>
      </c>
      <c r="C43" s="43">
        <v>1056</v>
      </c>
      <c r="D43" s="112">
        <v>1</v>
      </c>
      <c r="E43" s="343">
        <f t="shared" si="32"/>
        <v>63.36</v>
      </c>
      <c r="F43" s="100">
        <f t="shared" si="33"/>
        <v>63.13</v>
      </c>
      <c r="G43" s="24">
        <v>60</v>
      </c>
      <c r="H43" s="24">
        <v>150</v>
      </c>
      <c r="I43" s="72">
        <f t="shared" si="34"/>
        <v>150</v>
      </c>
      <c r="J43" s="101">
        <f t="shared" si="35"/>
        <v>24</v>
      </c>
      <c r="K43" s="340">
        <f t="shared" si="36"/>
        <v>0.37878787878787878</v>
      </c>
      <c r="L43" s="41"/>
      <c r="M43" s="341">
        <f>I43/$I$40</f>
        <v>0.90909090909090906</v>
      </c>
      <c r="N43" s="73"/>
      <c r="O43" s="43"/>
      <c r="P43" s="43"/>
      <c r="Z43" s="40">
        <v>400</v>
      </c>
      <c r="AA43" s="40">
        <f>Z43/400*600</f>
        <v>600</v>
      </c>
    </row>
    <row r="44" spans="1:27" x14ac:dyDescent="0.25">
      <c r="A44" s="128">
        <f t="shared" si="30"/>
        <v>3000</v>
      </c>
      <c r="B44" s="128">
        <f t="shared" si="31"/>
        <v>484</v>
      </c>
      <c r="C44" s="43">
        <v>1284</v>
      </c>
      <c r="D44" s="112">
        <v>1</v>
      </c>
      <c r="E44" s="343">
        <f t="shared" si="32"/>
        <v>77.040000000000006</v>
      </c>
      <c r="F44" s="100">
        <f t="shared" si="33"/>
        <v>76.81</v>
      </c>
      <c r="G44" s="24">
        <v>60</v>
      </c>
      <c r="H44" s="24">
        <v>145</v>
      </c>
      <c r="I44" s="72">
        <f t="shared" si="34"/>
        <v>145</v>
      </c>
      <c r="J44" s="101">
        <f t="shared" si="35"/>
        <v>34.800000000000004</v>
      </c>
      <c r="K44" s="340">
        <f t="shared" si="36"/>
        <v>0.45171339563862928</v>
      </c>
      <c r="L44" s="41"/>
      <c r="M44" s="341">
        <f>I44/$I$40</f>
        <v>0.87878787878787878</v>
      </c>
      <c r="N44" s="73"/>
      <c r="O44" s="43"/>
      <c r="P44" s="43"/>
    </row>
    <row r="45" spans="1:27" x14ac:dyDescent="0.25">
      <c r="A45" s="74"/>
      <c r="B45" s="128"/>
      <c r="C45" s="43"/>
      <c r="D45" s="112"/>
      <c r="E45" s="343"/>
      <c r="F45" s="100"/>
      <c r="G45" s="24"/>
      <c r="H45" s="24"/>
      <c r="I45" s="72"/>
      <c r="J45" s="101"/>
      <c r="K45" s="41"/>
      <c r="L45" s="41"/>
      <c r="M45" s="341"/>
      <c r="N45" s="73"/>
      <c r="O45" s="43"/>
      <c r="P45" s="43"/>
    </row>
    <row r="46" spans="1:27" x14ac:dyDescent="0.25">
      <c r="A46" s="128">
        <f t="shared" ref="A46:A51" si="37">Q3</f>
        <v>0</v>
      </c>
      <c r="B46" s="128">
        <f t="shared" ref="B46:B51" si="38">P$8</f>
        <v>600</v>
      </c>
      <c r="C46" s="43">
        <v>673</v>
      </c>
      <c r="D46" s="112">
        <v>1</v>
      </c>
      <c r="E46" s="343">
        <f t="shared" ref="E46:E51" si="39">60/D46*C46/1000</f>
        <v>40.380000000000003</v>
      </c>
      <c r="F46" s="100">
        <f t="shared" ref="F46:F51" si="40">E46-$J$7</f>
        <v>40.150000000000006</v>
      </c>
      <c r="G46" s="24">
        <v>60</v>
      </c>
      <c r="H46" s="24">
        <v>205</v>
      </c>
      <c r="I46" s="72">
        <f t="shared" ref="I46:I51" si="41">60*H46/G46</f>
        <v>205</v>
      </c>
      <c r="J46" s="101">
        <f t="shared" ref="J46:J51" si="42">I46/100*A46/100*0.8</f>
        <v>0</v>
      </c>
      <c r="K46" s="340">
        <f t="shared" ref="K46:K51" si="43">J46/E46</f>
        <v>0</v>
      </c>
      <c r="L46" s="41"/>
      <c r="M46" s="341"/>
      <c r="N46" s="73"/>
      <c r="O46" s="43"/>
      <c r="P46" s="43"/>
      <c r="Q46" s="69"/>
      <c r="R46" s="70"/>
      <c r="S46" s="70"/>
    </row>
    <row r="47" spans="1:27" x14ac:dyDescent="0.25">
      <c r="A47" s="128">
        <f t="shared" si="37"/>
        <v>100</v>
      </c>
      <c r="B47" s="128">
        <f t="shared" si="38"/>
        <v>600</v>
      </c>
      <c r="C47" s="43">
        <v>733</v>
      </c>
      <c r="D47" s="112">
        <v>1</v>
      </c>
      <c r="E47" s="343">
        <f t="shared" si="39"/>
        <v>43.98</v>
      </c>
      <c r="F47" s="100">
        <f t="shared" si="40"/>
        <v>43.75</v>
      </c>
      <c r="G47" s="24">
        <v>60</v>
      </c>
      <c r="H47" s="24">
        <v>200</v>
      </c>
      <c r="I47" s="72">
        <f t="shared" si="41"/>
        <v>200</v>
      </c>
      <c r="J47" s="101">
        <f t="shared" si="42"/>
        <v>1.6</v>
      </c>
      <c r="K47" s="340">
        <f t="shared" si="43"/>
        <v>3.6380172805820829E-2</v>
      </c>
      <c r="L47" s="41"/>
      <c r="M47" s="341">
        <f>I47/$I$47</f>
        <v>1</v>
      </c>
      <c r="N47" s="73"/>
      <c r="O47" s="43"/>
      <c r="P47" s="43"/>
      <c r="R47" s="70"/>
      <c r="Z47" s="40">
        <v>100</v>
      </c>
      <c r="AA47" s="40">
        <f>Z47/400*600</f>
        <v>150</v>
      </c>
    </row>
    <row r="48" spans="1:27" x14ac:dyDescent="0.25">
      <c r="A48" s="128">
        <f t="shared" si="37"/>
        <v>500</v>
      </c>
      <c r="B48" s="128">
        <f t="shared" si="38"/>
        <v>600</v>
      </c>
      <c r="C48" s="43">
        <v>817</v>
      </c>
      <c r="D48" s="112">
        <v>1</v>
      </c>
      <c r="E48" s="343">
        <f t="shared" si="39"/>
        <v>49.02</v>
      </c>
      <c r="F48" s="100">
        <f t="shared" si="40"/>
        <v>48.790000000000006</v>
      </c>
      <c r="G48" s="24">
        <v>60</v>
      </c>
      <c r="H48" s="24">
        <v>200</v>
      </c>
      <c r="I48" s="72">
        <f t="shared" si="41"/>
        <v>200</v>
      </c>
      <c r="J48" s="101">
        <f t="shared" si="42"/>
        <v>8</v>
      </c>
      <c r="K48" s="340">
        <f t="shared" si="43"/>
        <v>0.16319869441044471</v>
      </c>
      <c r="L48" s="41"/>
      <c r="M48" s="341">
        <f>I48/$I$47</f>
        <v>1</v>
      </c>
      <c r="N48" s="73"/>
      <c r="O48" s="43"/>
      <c r="P48" s="43"/>
      <c r="R48" s="70"/>
      <c r="Z48" s="40">
        <v>200</v>
      </c>
      <c r="AA48" s="40">
        <f>Z48/400*600</f>
        <v>300</v>
      </c>
    </row>
    <row r="49" spans="1:27" x14ac:dyDescent="0.25">
      <c r="A49" s="128">
        <f t="shared" si="37"/>
        <v>1000</v>
      </c>
      <c r="B49" s="128">
        <f t="shared" si="38"/>
        <v>600</v>
      </c>
      <c r="C49" s="43">
        <v>971</v>
      </c>
      <c r="D49" s="112">
        <v>1</v>
      </c>
      <c r="E49" s="343">
        <f t="shared" si="39"/>
        <v>58.26</v>
      </c>
      <c r="F49" s="100">
        <f t="shared" si="40"/>
        <v>58.03</v>
      </c>
      <c r="G49" s="24">
        <v>60</v>
      </c>
      <c r="H49" s="24">
        <v>195</v>
      </c>
      <c r="I49" s="72">
        <f t="shared" si="41"/>
        <v>195</v>
      </c>
      <c r="J49" s="101">
        <f t="shared" si="42"/>
        <v>15.600000000000001</v>
      </c>
      <c r="K49" s="340">
        <f t="shared" si="43"/>
        <v>0.26776519052523173</v>
      </c>
      <c r="L49" s="41"/>
      <c r="M49" s="341">
        <f>I49/$I$47</f>
        <v>0.97499999999999998</v>
      </c>
      <c r="N49" s="73"/>
      <c r="O49" s="43"/>
      <c r="P49" s="43"/>
      <c r="R49" s="70"/>
      <c r="Z49" s="40">
        <v>300</v>
      </c>
      <c r="AA49" s="40">
        <f>Z49/400*600</f>
        <v>450</v>
      </c>
    </row>
    <row r="50" spans="1:27" x14ac:dyDescent="0.25">
      <c r="A50" s="128">
        <f t="shared" si="37"/>
        <v>2000</v>
      </c>
      <c r="B50" s="128">
        <f t="shared" si="38"/>
        <v>600</v>
      </c>
      <c r="C50" s="43">
        <v>1320</v>
      </c>
      <c r="D50" s="112">
        <v>1</v>
      </c>
      <c r="E50" s="343">
        <f t="shared" si="39"/>
        <v>79.2</v>
      </c>
      <c r="F50" s="100">
        <f t="shared" si="40"/>
        <v>78.97</v>
      </c>
      <c r="G50" s="24">
        <v>60</v>
      </c>
      <c r="H50" s="24">
        <v>185</v>
      </c>
      <c r="I50" s="72">
        <f t="shared" si="41"/>
        <v>185</v>
      </c>
      <c r="J50" s="101">
        <f t="shared" si="42"/>
        <v>29.6</v>
      </c>
      <c r="K50" s="340">
        <f t="shared" si="43"/>
        <v>0.37373737373737376</v>
      </c>
      <c r="L50" s="41"/>
      <c r="M50" s="341">
        <f>I50/$I$47</f>
        <v>0.92500000000000004</v>
      </c>
      <c r="N50" s="73"/>
      <c r="O50" s="43"/>
      <c r="P50" s="43"/>
      <c r="R50" s="70"/>
      <c r="Z50" s="40">
        <v>400</v>
      </c>
      <c r="AA50" s="40">
        <f>Z50/400*600</f>
        <v>600</v>
      </c>
    </row>
    <row r="51" spans="1:27" x14ac:dyDescent="0.25">
      <c r="A51" s="128">
        <f t="shared" si="37"/>
        <v>3000</v>
      </c>
      <c r="B51" s="128">
        <f t="shared" si="38"/>
        <v>600</v>
      </c>
      <c r="C51" s="43">
        <v>1402</v>
      </c>
      <c r="D51" s="112">
        <v>1</v>
      </c>
      <c r="E51" s="343">
        <f t="shared" si="39"/>
        <v>84.12</v>
      </c>
      <c r="F51" s="100">
        <f t="shared" si="40"/>
        <v>83.89</v>
      </c>
      <c r="G51" s="24">
        <v>60</v>
      </c>
      <c r="H51" s="24">
        <f>415-235</f>
        <v>180</v>
      </c>
      <c r="I51" s="72">
        <f t="shared" si="41"/>
        <v>180</v>
      </c>
      <c r="J51" s="101">
        <f t="shared" si="42"/>
        <v>43.2</v>
      </c>
      <c r="K51" s="340">
        <f t="shared" si="43"/>
        <v>0.51355206847360912</v>
      </c>
      <c r="L51" s="41"/>
      <c r="M51" s="341">
        <f>I51/$I$47</f>
        <v>0.9</v>
      </c>
      <c r="N51" s="73"/>
      <c r="O51" s="43"/>
      <c r="P51" s="43"/>
      <c r="R51" s="70"/>
    </row>
    <row r="52" spans="1:27" x14ac:dyDescent="0.25">
      <c r="A52" s="43"/>
      <c r="B52" s="128"/>
      <c r="C52" s="41"/>
      <c r="D52" s="41"/>
      <c r="E52" s="41"/>
      <c r="F52" s="75"/>
      <c r="G52" s="41"/>
      <c r="H52" s="43"/>
      <c r="I52" s="76"/>
      <c r="J52" s="71"/>
      <c r="K52" s="41"/>
      <c r="L52" s="41"/>
      <c r="M52" s="341"/>
      <c r="N52" s="73"/>
      <c r="O52" s="43"/>
      <c r="P52" s="43"/>
    </row>
    <row r="53" spans="1:27" x14ac:dyDescent="0.25">
      <c r="A53" s="43"/>
      <c r="B53" s="74"/>
      <c r="C53" s="41"/>
      <c r="D53" s="41"/>
      <c r="E53" s="41"/>
      <c r="F53" s="41"/>
      <c r="G53" s="41"/>
      <c r="H53" s="43"/>
      <c r="I53" s="76"/>
      <c r="J53" s="71"/>
      <c r="K53" s="41"/>
      <c r="L53" s="41"/>
      <c r="M53" s="341"/>
      <c r="N53" s="73"/>
      <c r="O53" s="43"/>
      <c r="P53" s="43"/>
    </row>
    <row r="54" spans="1:27" x14ac:dyDescent="0.25">
      <c r="A54" s="43"/>
      <c r="B54" s="128"/>
      <c r="C54" s="41"/>
      <c r="D54" s="41"/>
      <c r="E54" s="41"/>
      <c r="F54" s="41"/>
      <c r="G54" s="41"/>
      <c r="H54" s="43"/>
      <c r="I54" s="76"/>
      <c r="J54" s="71"/>
      <c r="K54" s="41"/>
      <c r="L54" s="41"/>
      <c r="M54" s="341"/>
      <c r="N54" s="73"/>
      <c r="O54" s="43"/>
      <c r="P54" s="43"/>
    </row>
    <row r="55" spans="1:27" x14ac:dyDescent="0.25">
      <c r="A55" s="47"/>
      <c r="B55" s="128"/>
      <c r="C55" s="41"/>
      <c r="D55" s="41"/>
      <c r="E55" s="41"/>
      <c r="F55" s="41"/>
      <c r="G55" s="41"/>
      <c r="H55" s="43"/>
      <c r="I55" s="76"/>
      <c r="J55" s="71"/>
      <c r="K55" s="41"/>
      <c r="L55" s="41"/>
      <c r="M55" s="341"/>
      <c r="N55" s="73"/>
      <c r="O55" s="43"/>
      <c r="P55" s="43"/>
    </row>
    <row r="56" spans="1:27" x14ac:dyDescent="0.25">
      <c r="A56" s="71"/>
      <c r="B56" s="74"/>
      <c r="C56" s="41"/>
      <c r="D56" s="41"/>
      <c r="E56" s="41"/>
      <c r="F56" s="41"/>
      <c r="G56" s="41"/>
      <c r="H56" s="43"/>
      <c r="I56" s="76"/>
      <c r="J56" s="71"/>
      <c r="K56" s="41"/>
      <c r="L56" s="41"/>
      <c r="M56" s="341"/>
      <c r="N56" s="73"/>
      <c r="O56" s="43"/>
      <c r="P56" s="43"/>
    </row>
    <row r="57" spans="1:27" x14ac:dyDescent="0.25">
      <c r="A57" s="47"/>
      <c r="B57" s="128"/>
      <c r="C57" s="41"/>
      <c r="D57" s="41"/>
      <c r="E57" s="41"/>
      <c r="F57" s="41"/>
      <c r="G57" s="41"/>
      <c r="H57" s="43"/>
      <c r="I57" s="43"/>
      <c r="J57" s="47"/>
      <c r="K57" s="41"/>
      <c r="L57" s="41"/>
      <c r="M57" s="341"/>
      <c r="N57" s="73"/>
      <c r="O57" s="43"/>
      <c r="P57" s="43"/>
    </row>
    <row r="58" spans="1:27" x14ac:dyDescent="0.25">
      <c r="A58" s="47"/>
      <c r="B58" s="128"/>
      <c r="C58" s="41"/>
      <c r="D58" s="41"/>
      <c r="E58" s="41"/>
      <c r="F58" s="41"/>
      <c r="G58" s="340"/>
      <c r="H58" s="43"/>
      <c r="I58" s="43"/>
      <c r="J58" s="47"/>
      <c r="K58" s="41"/>
      <c r="L58" s="41"/>
      <c r="M58" s="341"/>
      <c r="N58" s="73"/>
      <c r="O58" s="43"/>
      <c r="P58" s="43"/>
    </row>
    <row r="59" spans="1:27" x14ac:dyDescent="0.25">
      <c r="A59" s="47"/>
      <c r="B59" s="128"/>
      <c r="C59" s="41"/>
      <c r="D59" s="41"/>
      <c r="E59" s="41"/>
      <c r="F59" s="41"/>
      <c r="G59" s="41"/>
      <c r="H59" s="43"/>
      <c r="I59" s="43"/>
      <c r="J59" s="47"/>
      <c r="K59" s="41"/>
      <c r="L59" s="41"/>
      <c r="M59" s="341"/>
      <c r="N59" s="73"/>
      <c r="O59" s="43"/>
      <c r="P59" s="43"/>
    </row>
    <row r="60" spans="1:27" x14ac:dyDescent="0.25">
      <c r="A60" s="47"/>
      <c r="B60" s="128"/>
      <c r="C60" s="41"/>
      <c r="D60" s="41"/>
      <c r="E60" s="41"/>
      <c r="F60" s="41"/>
      <c r="G60" s="41"/>
      <c r="H60" s="43"/>
      <c r="I60" s="43"/>
      <c r="J60" s="47"/>
      <c r="K60" s="41"/>
      <c r="L60" s="41"/>
      <c r="M60" s="341"/>
      <c r="N60" s="73"/>
      <c r="O60" s="43"/>
      <c r="P60" s="43"/>
    </row>
    <row r="61" spans="1:27" x14ac:dyDescent="0.25">
      <c r="A61" s="47"/>
      <c r="B61" s="128"/>
      <c r="C61" s="41"/>
      <c r="D61" s="41"/>
      <c r="E61" s="41"/>
      <c r="F61" s="41"/>
      <c r="G61" s="41"/>
      <c r="H61" s="43"/>
      <c r="I61" s="43"/>
      <c r="J61" s="47"/>
      <c r="K61" s="41"/>
      <c r="L61" s="41"/>
      <c r="M61" s="341"/>
      <c r="N61" s="73"/>
      <c r="O61" s="43"/>
      <c r="P61" s="43"/>
    </row>
    <row r="63" spans="1:27" x14ac:dyDescent="0.25">
      <c r="L63" s="80" t="s">
        <v>18</v>
      </c>
      <c r="M63" s="332"/>
      <c r="N63" s="335" t="s">
        <v>345</v>
      </c>
    </row>
    <row r="64" spans="1:27" x14ac:dyDescent="0.25">
      <c r="K64" s="79" t="s">
        <v>205</v>
      </c>
      <c r="L64" s="81">
        <f>B11</f>
        <v>20</v>
      </c>
      <c r="M64" s="80">
        <f>B18</f>
        <v>136</v>
      </c>
      <c r="N64" s="80">
        <f>B25</f>
        <v>252</v>
      </c>
      <c r="O64" s="80">
        <f>B32</f>
        <v>368</v>
      </c>
      <c r="P64" s="80">
        <f>B39</f>
        <v>484</v>
      </c>
      <c r="Q64" s="80">
        <f>B46</f>
        <v>600</v>
      </c>
    </row>
    <row r="65" spans="1:18" x14ac:dyDescent="0.25">
      <c r="K65" s="82">
        <f t="shared" ref="K65:K70" si="44">Q3</f>
        <v>0</v>
      </c>
      <c r="L65" s="344">
        <f t="shared" ref="L65:L70" si="45">I11</f>
        <v>7.5</v>
      </c>
      <c r="M65" s="93">
        <f t="shared" ref="M65:M70" si="46">I18</f>
        <v>46</v>
      </c>
      <c r="N65" s="93">
        <f t="shared" ref="N65:N70" si="47">I25</f>
        <v>85</v>
      </c>
      <c r="O65" s="93">
        <f t="shared" ref="O65:O70" si="48">I32</f>
        <v>125</v>
      </c>
      <c r="P65" s="93">
        <f t="shared" ref="P65:P70" si="49">I39</f>
        <v>165</v>
      </c>
      <c r="Q65" s="93">
        <f t="shared" ref="Q65:Q70" si="50">I46</f>
        <v>205</v>
      </c>
    </row>
    <row r="66" spans="1:18" x14ac:dyDescent="0.25">
      <c r="K66" s="82">
        <f t="shared" si="44"/>
        <v>100</v>
      </c>
      <c r="L66" s="344">
        <f t="shared" si="45"/>
        <v>7.5</v>
      </c>
      <c r="M66" s="93">
        <f t="shared" si="46"/>
        <v>45</v>
      </c>
      <c r="N66" s="93">
        <f t="shared" si="47"/>
        <v>83</v>
      </c>
      <c r="O66" s="93">
        <f t="shared" si="48"/>
        <v>125</v>
      </c>
      <c r="P66" s="93">
        <f t="shared" si="49"/>
        <v>165</v>
      </c>
      <c r="Q66" s="93">
        <f t="shared" si="50"/>
        <v>200</v>
      </c>
    </row>
    <row r="67" spans="1:18" x14ac:dyDescent="0.25">
      <c r="K67" s="82">
        <f t="shared" si="44"/>
        <v>500</v>
      </c>
      <c r="L67" s="344">
        <f t="shared" si="45"/>
        <v>7.5</v>
      </c>
      <c r="M67" s="93">
        <f t="shared" si="46"/>
        <v>44</v>
      </c>
      <c r="N67" s="93">
        <f t="shared" si="47"/>
        <v>82</v>
      </c>
      <c r="O67" s="93">
        <f t="shared" si="48"/>
        <v>120</v>
      </c>
      <c r="P67" s="93">
        <f t="shared" si="49"/>
        <v>160</v>
      </c>
      <c r="Q67" s="93">
        <f t="shared" si="50"/>
        <v>200</v>
      </c>
    </row>
    <row r="68" spans="1:18" x14ac:dyDescent="0.25">
      <c r="K68" s="82">
        <f t="shared" si="44"/>
        <v>1000</v>
      </c>
      <c r="L68" s="344">
        <f t="shared" si="45"/>
        <v>6.5</v>
      </c>
      <c r="M68" s="93">
        <f t="shared" si="46"/>
        <v>43</v>
      </c>
      <c r="N68" s="93">
        <f t="shared" si="47"/>
        <v>80</v>
      </c>
      <c r="O68" s="93">
        <f t="shared" si="48"/>
        <v>120</v>
      </c>
      <c r="P68" s="93">
        <f t="shared" si="49"/>
        <v>155</v>
      </c>
      <c r="Q68" s="93">
        <f t="shared" si="50"/>
        <v>195</v>
      </c>
    </row>
    <row r="69" spans="1:18" x14ac:dyDescent="0.25">
      <c r="K69" s="82">
        <f t="shared" si="44"/>
        <v>2000</v>
      </c>
      <c r="L69" s="344">
        <f t="shared" si="45"/>
        <v>6</v>
      </c>
      <c r="M69" s="93">
        <f t="shared" si="46"/>
        <v>42</v>
      </c>
      <c r="N69" s="93">
        <f t="shared" si="47"/>
        <v>76</v>
      </c>
      <c r="O69" s="93">
        <f t="shared" si="48"/>
        <v>110</v>
      </c>
      <c r="P69" s="93">
        <f t="shared" si="49"/>
        <v>150</v>
      </c>
      <c r="Q69" s="93">
        <f t="shared" si="50"/>
        <v>185</v>
      </c>
    </row>
    <row r="70" spans="1:18" x14ac:dyDescent="0.25">
      <c r="K70" s="82">
        <f t="shared" si="44"/>
        <v>3000</v>
      </c>
      <c r="L70" s="344">
        <f t="shared" si="45"/>
        <v>6</v>
      </c>
      <c r="M70" s="93">
        <f t="shared" si="46"/>
        <v>40</v>
      </c>
      <c r="N70" s="93">
        <f t="shared" si="47"/>
        <v>75</v>
      </c>
      <c r="O70" s="93">
        <f t="shared" si="48"/>
        <v>110</v>
      </c>
      <c r="P70" s="93">
        <f t="shared" si="49"/>
        <v>145</v>
      </c>
      <c r="Q70" s="93">
        <f t="shared" si="50"/>
        <v>180</v>
      </c>
    </row>
    <row r="71" spans="1:18" x14ac:dyDescent="0.25">
      <c r="K71" s="83"/>
      <c r="M71" s="332"/>
    </row>
    <row r="72" spans="1:18" x14ac:dyDescent="0.25">
      <c r="K72" s="335">
        <f>B80</f>
        <v>40</v>
      </c>
      <c r="L72" s="40">
        <f t="shared" ref="L72:Q72" si="51">_xlfn.FORECAST.LINEAR($B$80,L65:L70,$K$65:$K$70)</f>
        <v>7.454190476190476</v>
      </c>
      <c r="M72" s="40">
        <f t="shared" si="51"/>
        <v>45.226190476190482</v>
      </c>
      <c r="N72" s="40">
        <f t="shared" si="51"/>
        <v>83.619238095238089</v>
      </c>
      <c r="O72" s="40">
        <f t="shared" si="51"/>
        <v>124.16333333333333</v>
      </c>
      <c r="P72" s="40">
        <f t="shared" si="51"/>
        <v>163.85952380952381</v>
      </c>
      <c r="Q72" s="40">
        <f t="shared" si="51"/>
        <v>202.72238095238095</v>
      </c>
      <c r="R72" s="335" t="s">
        <v>28</v>
      </c>
    </row>
    <row r="73" spans="1:18" x14ac:dyDescent="0.25">
      <c r="J73" s="335" t="s">
        <v>28</v>
      </c>
      <c r="K73" s="94">
        <f>B79</f>
        <v>100</v>
      </c>
      <c r="L73" s="95">
        <f>_xlfn.FORECAST.LINEAR(K73,L64:Q64,L72:Q72)</f>
        <v>296.67072887176334</v>
      </c>
      <c r="M73" s="332" t="s">
        <v>18</v>
      </c>
    </row>
    <row r="77" spans="1:18" x14ac:dyDescent="0.25">
      <c r="A77" s="49" t="s">
        <v>346</v>
      </c>
      <c r="B77" s="78">
        <v>1230</v>
      </c>
      <c r="C77" s="40" t="s">
        <v>28</v>
      </c>
      <c r="M77" s="332"/>
    </row>
    <row r="78" spans="1:18" x14ac:dyDescent="0.25">
      <c r="B78" s="77">
        <v>600</v>
      </c>
      <c r="C78" s="40" t="s">
        <v>18</v>
      </c>
      <c r="M78" s="332"/>
    </row>
    <row r="79" spans="1:18" x14ac:dyDescent="0.25">
      <c r="A79" s="40" t="s">
        <v>349</v>
      </c>
      <c r="B79" s="78">
        <f>Q</f>
        <v>100</v>
      </c>
      <c r="C79" s="40" t="s">
        <v>28</v>
      </c>
      <c r="M79" s="332"/>
    </row>
    <row r="80" spans="1:18" x14ac:dyDescent="0.25">
      <c r="A80" s="40" t="s">
        <v>350</v>
      </c>
      <c r="B80" s="78">
        <f>Pavg</f>
        <v>40</v>
      </c>
      <c r="C80" s="40">
        <v>1000</v>
      </c>
      <c r="D80" s="40" t="s">
        <v>351</v>
      </c>
      <c r="M80" s="332"/>
    </row>
    <row r="81" spans="1:10" x14ac:dyDescent="0.25">
      <c r="A81" s="40" t="s">
        <v>352</v>
      </c>
      <c r="B81" s="77">
        <v>0</v>
      </c>
      <c r="C81" s="40" t="s">
        <v>353</v>
      </c>
      <c r="E81" s="40" t="s">
        <v>354</v>
      </c>
    </row>
    <row r="82" spans="1:10" x14ac:dyDescent="0.25">
      <c r="A82" s="40" t="s">
        <v>355</v>
      </c>
      <c r="B82" s="77">
        <f>L73</f>
        <v>296.67072887176334</v>
      </c>
    </row>
    <row r="83" spans="1:10" x14ac:dyDescent="0.25">
      <c r="A83" s="40" t="s">
        <v>356</v>
      </c>
      <c r="B83" s="77">
        <f>(1+(B80/C80*B81))*B82</f>
        <v>296.67072887176334</v>
      </c>
    </row>
    <row r="84" spans="1:10" x14ac:dyDescent="0.25">
      <c r="A84" s="40" t="s">
        <v>357</v>
      </c>
    </row>
    <row r="85" spans="1:10" x14ac:dyDescent="0.25">
      <c r="A85" s="79" t="s">
        <v>205</v>
      </c>
      <c r="E85" s="335" t="s">
        <v>358</v>
      </c>
      <c r="H85" s="40" t="s">
        <v>359</v>
      </c>
    </row>
    <row r="86" spans="1:10" x14ac:dyDescent="0.25">
      <c r="A86" s="80" t="s">
        <v>18</v>
      </c>
      <c r="B86" s="77">
        <v>0.1</v>
      </c>
      <c r="C86" s="81">
        <f>B11</f>
        <v>20</v>
      </c>
      <c r="D86" s="80">
        <f>B18</f>
        <v>136</v>
      </c>
      <c r="E86" s="80">
        <f>B25</f>
        <v>252</v>
      </c>
      <c r="F86" s="80">
        <f>B32</f>
        <v>368</v>
      </c>
      <c r="G86" s="80">
        <f>B39</f>
        <v>484</v>
      </c>
      <c r="H86" s="80">
        <f>B46</f>
        <v>600</v>
      </c>
      <c r="I86" s="40">
        <f>H86*10</f>
        <v>6000</v>
      </c>
    </row>
    <row r="87" spans="1:10" x14ac:dyDescent="0.25">
      <c r="A87" s="82">
        <f>Q3</f>
        <v>0</v>
      </c>
      <c r="B87" s="77">
        <f t="shared" ref="B87:B92" si="52">$J$7</f>
        <v>0.22999999999999998</v>
      </c>
      <c r="C87" s="41">
        <f>F11</f>
        <v>-0.22999999999999998</v>
      </c>
      <c r="D87" s="43">
        <f>F18</f>
        <v>10.99</v>
      </c>
      <c r="E87" s="43">
        <f t="shared" ref="E87:E92" si="53">F25</f>
        <v>17.59</v>
      </c>
      <c r="F87" s="43">
        <f t="shared" ref="F87:F92" si="54">F32</f>
        <v>24.43</v>
      </c>
      <c r="G87" s="43">
        <f t="shared" ref="G87:G92" si="55">F39</f>
        <v>31.33</v>
      </c>
      <c r="H87" s="43">
        <f t="shared" ref="H87:H92" si="56">F46</f>
        <v>40.150000000000006</v>
      </c>
      <c r="I87" s="40">
        <f t="shared" ref="I87:I92" si="57">H87*10</f>
        <v>401.50000000000006</v>
      </c>
      <c r="J87" s="40">
        <f t="shared" ref="J87:J92" ca="1" si="58">_xlfn.FORECAST.LINEAR(__RPM1,OFFSET(B87:H87,0,MATCH(__RPM1,$B$86:$H$86,1)-1,1,2),OFFSET($B$86:$H$86,0,MATCH(__RPM1,$B$86:$H$86,1)-1,1,2))</f>
        <v>20.224032633472941</v>
      </c>
    </row>
    <row r="88" spans="1:10" x14ac:dyDescent="0.25">
      <c r="A88" s="82">
        <f>Q4</f>
        <v>100</v>
      </c>
      <c r="B88" s="77">
        <f t="shared" si="52"/>
        <v>0.22999999999999998</v>
      </c>
      <c r="C88" s="41">
        <f>E12</f>
        <v>4.68</v>
      </c>
      <c r="D88" s="43">
        <f>E19</f>
        <v>12.36</v>
      </c>
      <c r="E88" s="43">
        <f t="shared" si="53"/>
        <v>19.149999999999999</v>
      </c>
      <c r="F88" s="43">
        <f t="shared" si="54"/>
        <v>26.23</v>
      </c>
      <c r="G88" s="43">
        <f t="shared" si="55"/>
        <v>34.21</v>
      </c>
      <c r="H88" s="43">
        <f t="shared" si="56"/>
        <v>43.75</v>
      </c>
      <c r="I88" s="40">
        <f t="shared" si="57"/>
        <v>437.5</v>
      </c>
      <c r="J88" s="40">
        <f t="shared" ca="1" si="58"/>
        <v>21.876454831138659</v>
      </c>
    </row>
    <row r="89" spans="1:10" x14ac:dyDescent="0.25">
      <c r="A89" s="82">
        <f>Q5</f>
        <v>500</v>
      </c>
      <c r="B89" s="77">
        <f t="shared" si="52"/>
        <v>0.22999999999999998</v>
      </c>
      <c r="C89" s="41">
        <f>E13</f>
        <v>5.0999999999999996</v>
      </c>
      <c r="D89" s="43">
        <f>E20</f>
        <v>13.98</v>
      </c>
      <c r="E89" s="43">
        <f t="shared" si="53"/>
        <v>21.91</v>
      </c>
      <c r="F89" s="43">
        <f t="shared" si="54"/>
        <v>29.65</v>
      </c>
      <c r="G89" s="43">
        <f t="shared" si="55"/>
        <v>39.25</v>
      </c>
      <c r="H89" s="43">
        <f t="shared" si="56"/>
        <v>48.790000000000006</v>
      </c>
      <c r="I89" s="40">
        <f t="shared" si="57"/>
        <v>487.90000000000009</v>
      </c>
      <c r="J89" s="40">
        <f t="shared" ca="1" si="58"/>
        <v>24.890615874719384</v>
      </c>
    </row>
    <row r="90" spans="1:10" x14ac:dyDescent="0.25">
      <c r="A90" s="82">
        <f>Q6</f>
        <v>1000</v>
      </c>
      <c r="B90" s="77">
        <f t="shared" si="52"/>
        <v>0.22999999999999998</v>
      </c>
      <c r="C90" s="41">
        <f>E14</f>
        <v>6.06</v>
      </c>
      <c r="D90" s="43">
        <f>E21</f>
        <v>15.84</v>
      </c>
      <c r="E90" s="43">
        <f t="shared" si="53"/>
        <v>25.87</v>
      </c>
      <c r="F90" s="43">
        <f t="shared" si="54"/>
        <v>35.230000000000004</v>
      </c>
      <c r="G90" s="43">
        <f t="shared" si="55"/>
        <v>47.53</v>
      </c>
      <c r="H90" s="43">
        <f t="shared" si="56"/>
        <v>58.03</v>
      </c>
      <c r="I90" s="40">
        <f t="shared" si="57"/>
        <v>580.29999999999995</v>
      </c>
      <c r="J90" s="40">
        <f t="shared" ca="1" si="58"/>
        <v>29.474465708962978</v>
      </c>
    </row>
    <row r="91" spans="1:10" x14ac:dyDescent="0.25">
      <c r="A91" s="82">
        <f>Q7</f>
        <v>2000</v>
      </c>
      <c r="B91" s="77">
        <f t="shared" si="52"/>
        <v>0.22999999999999998</v>
      </c>
      <c r="C91" s="41">
        <f>E15</f>
        <v>8.8800000000000008</v>
      </c>
      <c r="D91" s="43">
        <f>E22</f>
        <v>22.14</v>
      </c>
      <c r="E91" s="43">
        <f t="shared" si="53"/>
        <v>34.81</v>
      </c>
      <c r="F91" s="43">
        <f t="shared" si="54"/>
        <v>48.67</v>
      </c>
      <c r="G91" s="43">
        <f t="shared" si="55"/>
        <v>63.13</v>
      </c>
      <c r="H91" s="43">
        <f t="shared" si="56"/>
        <v>78.97</v>
      </c>
      <c r="I91" s="40">
        <f t="shared" si="57"/>
        <v>789.7</v>
      </c>
      <c r="J91" s="40">
        <f t="shared" ca="1" si="58"/>
        <v>40.147381915195176</v>
      </c>
    </row>
    <row r="92" spans="1:10" x14ac:dyDescent="0.25">
      <c r="A92" s="82">
        <f>Q8+0.1</f>
        <v>3000.1</v>
      </c>
      <c r="B92" s="77">
        <f t="shared" si="52"/>
        <v>0.22999999999999998</v>
      </c>
      <c r="C92" s="41">
        <f>E16</f>
        <v>12.42</v>
      </c>
      <c r="D92" s="43">
        <f>E23</f>
        <v>28.92</v>
      </c>
      <c r="E92" s="43">
        <f t="shared" si="53"/>
        <v>44.830000000000005</v>
      </c>
      <c r="F92" s="43">
        <f t="shared" si="54"/>
        <v>61.27</v>
      </c>
      <c r="G92" s="43">
        <f t="shared" si="55"/>
        <v>76.81</v>
      </c>
      <c r="H92" s="43">
        <f t="shared" si="56"/>
        <v>83.89</v>
      </c>
      <c r="I92" s="40">
        <f t="shared" si="57"/>
        <v>838.9</v>
      </c>
      <c r="J92" s="40">
        <f t="shared" ca="1" si="58"/>
        <v>51.160920540101635</v>
      </c>
    </row>
    <row r="95" spans="1:10" x14ac:dyDescent="0.25">
      <c r="A95" s="40" t="s">
        <v>360</v>
      </c>
      <c r="B95" s="84">
        <f>B83</f>
        <v>296.67072887176334</v>
      </c>
      <c r="C95" s="40" t="s">
        <v>18</v>
      </c>
    </row>
    <row r="96" spans="1:10" x14ac:dyDescent="0.25">
      <c r="A96" s="40" t="s">
        <v>361</v>
      </c>
      <c r="B96" s="84">
        <f>B80</f>
        <v>40</v>
      </c>
      <c r="C96" s="40" t="s">
        <v>97</v>
      </c>
    </row>
    <row r="97" spans="1:3" x14ac:dyDescent="0.25">
      <c r="A97" s="40" t="s">
        <v>362</v>
      </c>
      <c r="B97" s="85">
        <f ca="1">_xlfn.FORECAST.LINEAR(Press1,OFFSET(J87:J92,MATCH(Press1,A87:A92,1)-1,0,2),OFFSET(A87:A92,MATCH(Press1,A87:A92,1)-1,0,2))</f>
        <v>20.885001512539233</v>
      </c>
      <c r="C97" s="40" t="s">
        <v>19</v>
      </c>
    </row>
  </sheetData>
  <mergeCells count="3">
    <mergeCell ref="C9:E9"/>
    <mergeCell ref="F9:H9"/>
    <mergeCell ref="L9:N9"/>
  </mergeCells>
  <pageMargins left="0.70866141732283472" right="0.70866141732283472" top="0.74803149606299213" bottom="0.74803149606299213" header="0.31496062992125984" footer="0.31496062992125984"/>
  <pageSetup scale="63" orientation="landscape" r:id="rId1"/>
  <rowBreaks count="1" manualBreakCount="1">
    <brk id="54" max="1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B605E-B952-4F11-8A12-1C7BDC9EBC8E}">
  <sheetPr codeName="Sheet8">
    <tabColor rgb="FF00B0F0"/>
  </sheetPr>
  <dimension ref="A1:AA97"/>
  <sheetViews>
    <sheetView topLeftCell="A27" workbookViewId="0">
      <selection activeCell="F51" sqref="F51"/>
    </sheetView>
  </sheetViews>
  <sheetFormatPr defaultColWidth="9.140625" defaultRowHeight="15" x14ac:dyDescent="0.25"/>
  <cols>
    <col min="1" max="1" width="14.7109375" style="40" customWidth="1"/>
    <col min="2" max="2" width="11.28515625" style="77" customWidth="1"/>
    <col min="3" max="3" width="12.42578125" style="40" customWidth="1"/>
    <col min="4" max="4" width="19.140625" style="40" customWidth="1"/>
    <col min="5" max="5" width="13.7109375" style="40" customWidth="1"/>
    <col min="6" max="6" width="14.85546875" style="40" customWidth="1"/>
    <col min="7" max="7" width="13.140625" style="40" customWidth="1"/>
    <col min="8" max="8" width="9.140625" style="40"/>
    <col min="9" max="9" width="12.140625" style="40" customWidth="1"/>
    <col min="10" max="10" width="10.5703125" style="40" customWidth="1"/>
    <col min="11" max="11" width="12" style="40" customWidth="1"/>
    <col min="12" max="12" width="9.140625" style="40" customWidth="1"/>
    <col min="13" max="13" width="9.140625" style="44"/>
    <col min="14" max="16384" width="9.140625" style="40"/>
  </cols>
  <sheetData>
    <row r="1" spans="1:27" x14ac:dyDescent="0.25">
      <c r="B1" s="41" t="s">
        <v>305</v>
      </c>
      <c r="C1" s="42">
        <v>44302</v>
      </c>
      <c r="D1" s="331" t="s">
        <v>367</v>
      </c>
      <c r="E1" s="43"/>
      <c r="F1" s="43"/>
      <c r="M1" s="332"/>
    </row>
    <row r="2" spans="1:27" ht="21" x14ac:dyDescent="0.35">
      <c r="A2" s="45" t="s">
        <v>368</v>
      </c>
      <c r="B2" s="46"/>
      <c r="C2" s="45"/>
      <c r="D2" s="45"/>
      <c r="E2" s="45"/>
      <c r="F2" s="45"/>
      <c r="G2" s="45"/>
      <c r="H2" s="45"/>
      <c r="I2" s="45"/>
      <c r="J2" s="45"/>
      <c r="K2" s="45"/>
      <c r="L2" s="45"/>
      <c r="M2" s="40"/>
      <c r="P2" s="47" t="s">
        <v>309</v>
      </c>
      <c r="Q2" s="49" t="s">
        <v>310</v>
      </c>
    </row>
    <row r="3" spans="1:27" x14ac:dyDescent="0.25">
      <c r="A3" s="47" t="s">
        <v>311</v>
      </c>
      <c r="B3" s="128"/>
      <c r="C3" s="47" t="s">
        <v>372</v>
      </c>
      <c r="D3" s="47"/>
      <c r="E3" s="47"/>
      <c r="F3" s="47"/>
      <c r="G3" s="48"/>
      <c r="H3" s="43"/>
      <c r="I3" s="49"/>
      <c r="K3" s="49"/>
      <c r="L3" s="49"/>
      <c r="M3" s="40"/>
      <c r="P3" s="47">
        <v>20</v>
      </c>
      <c r="Q3" s="47">
        <v>0</v>
      </c>
    </row>
    <row r="4" spans="1:27" x14ac:dyDescent="0.25">
      <c r="A4" s="128" t="s">
        <v>313</v>
      </c>
      <c r="B4" s="128"/>
      <c r="C4" s="128">
        <v>0.375</v>
      </c>
      <c r="D4" s="128"/>
      <c r="E4" s="128"/>
      <c r="F4" s="128"/>
      <c r="G4" s="51" t="s">
        <v>314</v>
      </c>
      <c r="H4" s="333" t="s">
        <v>315</v>
      </c>
      <c r="I4" s="182"/>
      <c r="J4" s="183" t="s">
        <v>19</v>
      </c>
      <c r="K4" s="184"/>
      <c r="L4" s="183"/>
      <c r="M4" s="334"/>
      <c r="N4" s="182"/>
      <c r="O4" s="47"/>
      <c r="P4" s="47">
        <f>(P$8-P$3)/5+P3</f>
        <v>136</v>
      </c>
      <c r="Q4" s="47">
        <v>100</v>
      </c>
    </row>
    <row r="5" spans="1:27" x14ac:dyDescent="0.25">
      <c r="A5" s="128" t="s">
        <v>317</v>
      </c>
      <c r="B5" s="128"/>
      <c r="C5" s="128">
        <v>25.9</v>
      </c>
      <c r="D5" s="128"/>
      <c r="E5" s="128"/>
      <c r="F5" s="128"/>
      <c r="G5" s="52" t="s">
        <v>318</v>
      </c>
      <c r="H5" s="185">
        <v>73.5</v>
      </c>
      <c r="I5" s="184"/>
      <c r="J5" s="182">
        <f>H5/1000*25</f>
        <v>1.8374999999999999</v>
      </c>
      <c r="K5" s="186" t="s">
        <v>319</v>
      </c>
      <c r="L5" s="182"/>
      <c r="M5" s="334"/>
      <c r="N5" s="182"/>
      <c r="O5" s="47"/>
      <c r="P5" s="47">
        <f>(P$8-P$3)/5+P4</f>
        <v>252</v>
      </c>
      <c r="Q5" s="47">
        <v>500</v>
      </c>
    </row>
    <row r="6" spans="1:27" x14ac:dyDescent="0.25">
      <c r="A6" s="128" t="s">
        <v>320</v>
      </c>
      <c r="B6" s="128"/>
      <c r="C6" s="128">
        <f>0.15</f>
        <v>0.15</v>
      </c>
      <c r="D6" s="128"/>
      <c r="E6" s="128"/>
      <c r="F6" s="128"/>
      <c r="G6" s="51" t="s">
        <v>321</v>
      </c>
      <c r="H6" s="185">
        <v>64.3</v>
      </c>
      <c r="I6" s="184"/>
      <c r="J6" s="182">
        <f>H6/1000*25</f>
        <v>1.6074999999999999</v>
      </c>
      <c r="K6" s="186" t="s">
        <v>319</v>
      </c>
      <c r="L6" s="182"/>
      <c r="M6" s="334"/>
      <c r="N6" s="182"/>
      <c r="O6" s="47"/>
      <c r="P6" s="47">
        <f>(P$8-P$3)/5+P5</f>
        <v>368</v>
      </c>
      <c r="Q6" s="47">
        <v>1000</v>
      </c>
    </row>
    <row r="7" spans="1:27" x14ac:dyDescent="0.25">
      <c r="A7" s="53" t="s">
        <v>322</v>
      </c>
      <c r="B7" s="128"/>
      <c r="C7" s="128" t="s">
        <v>370</v>
      </c>
      <c r="D7" s="128"/>
      <c r="E7" s="128"/>
      <c r="F7" s="128"/>
      <c r="H7" s="182"/>
      <c r="I7" s="182" t="s">
        <v>324</v>
      </c>
      <c r="J7" s="183">
        <f>J5-J6</f>
        <v>0.22999999999999998</v>
      </c>
      <c r="K7" s="183" t="s">
        <v>19</v>
      </c>
      <c r="L7" s="186" t="s">
        <v>325</v>
      </c>
      <c r="M7" s="334"/>
      <c r="N7" s="182"/>
      <c r="O7" s="47"/>
      <c r="P7" s="47">
        <f>(P$8-P$3)/5+P6</f>
        <v>484</v>
      </c>
      <c r="Q7" s="47">
        <v>2000</v>
      </c>
    </row>
    <row r="8" spans="1:27" ht="15.75" thickBot="1" x14ac:dyDescent="0.3">
      <c r="A8" s="53" t="s">
        <v>326</v>
      </c>
      <c r="B8" s="128"/>
      <c r="C8" s="126" t="s">
        <v>371</v>
      </c>
      <c r="D8" s="53"/>
      <c r="E8" s="53"/>
      <c r="F8" s="53"/>
      <c r="G8" s="40" t="s">
        <v>328</v>
      </c>
      <c r="J8" s="50"/>
      <c r="K8" s="50"/>
      <c r="L8" s="50"/>
      <c r="M8" s="336"/>
      <c r="O8" s="54"/>
      <c r="P8" s="54">
        <v>600</v>
      </c>
      <c r="Q8" s="71">
        <v>3000</v>
      </c>
    </row>
    <row r="9" spans="1:27" x14ac:dyDescent="0.25">
      <c r="A9" s="47" t="s">
        <v>205</v>
      </c>
      <c r="C9" s="394" t="s">
        <v>329</v>
      </c>
      <c r="D9" s="395"/>
      <c r="E9" s="396"/>
      <c r="F9" s="397" t="s">
        <v>330</v>
      </c>
      <c r="G9" s="397"/>
      <c r="H9" s="397"/>
      <c r="I9" s="55"/>
      <c r="J9" s="56" t="s">
        <v>332</v>
      </c>
      <c r="K9" s="57" t="s">
        <v>333</v>
      </c>
      <c r="L9" s="398"/>
      <c r="M9" s="399"/>
      <c r="N9" s="399"/>
      <c r="O9" s="58"/>
      <c r="P9" s="59"/>
      <c r="Z9" s="40">
        <v>10</v>
      </c>
      <c r="AA9" s="40">
        <f t="shared" ref="AA9:AA14" si="0">Z9/400*600</f>
        <v>15</v>
      </c>
    </row>
    <row r="10" spans="1:27" ht="15.75" thickBot="1" x14ac:dyDescent="0.3">
      <c r="A10" s="128" t="s">
        <v>8</v>
      </c>
      <c r="B10" s="128" t="s">
        <v>18</v>
      </c>
      <c r="C10" s="53" t="s">
        <v>335</v>
      </c>
      <c r="D10" s="50" t="s">
        <v>336</v>
      </c>
      <c r="E10" s="61" t="s">
        <v>19</v>
      </c>
      <c r="F10" s="62" t="s">
        <v>337</v>
      </c>
      <c r="G10" s="53" t="s">
        <v>338</v>
      </c>
      <c r="H10" s="53" t="s">
        <v>339</v>
      </c>
      <c r="I10" s="64" t="s">
        <v>340</v>
      </c>
      <c r="J10" s="60" t="s">
        <v>19</v>
      </c>
      <c r="K10" s="63" t="s">
        <v>341</v>
      </c>
      <c r="L10" s="63"/>
      <c r="M10" s="65" t="s">
        <v>342</v>
      </c>
      <c r="N10" s="66"/>
      <c r="O10" s="67"/>
      <c r="P10" s="68"/>
      <c r="Q10" s="69"/>
      <c r="R10" s="70"/>
      <c r="S10" s="70"/>
      <c r="Z10" s="40">
        <v>50</v>
      </c>
      <c r="AA10" s="40">
        <f t="shared" si="0"/>
        <v>75</v>
      </c>
    </row>
    <row r="11" spans="1:27" x14ac:dyDescent="0.25">
      <c r="A11" s="74">
        <f t="shared" ref="A11:A16" si="1">Q3</f>
        <v>0</v>
      </c>
      <c r="B11" s="128">
        <f t="shared" ref="B11:B16" si="2">P$3</f>
        <v>20</v>
      </c>
      <c r="C11" s="43">
        <v>65</v>
      </c>
      <c r="D11" s="43">
        <f t="shared" ref="D11:D16" si="3">60/60</f>
        <v>1</v>
      </c>
      <c r="E11" s="343">
        <f t="shared" ref="E11:E16" si="4">60/D11*C11/1000</f>
        <v>3.9</v>
      </c>
      <c r="F11" s="100">
        <f t="shared" ref="F11:F16" si="5">E11-$J$7</f>
        <v>3.67</v>
      </c>
      <c r="G11" s="43">
        <v>60</v>
      </c>
      <c r="H11" s="24">
        <v>14</v>
      </c>
      <c r="I11" s="72">
        <f t="shared" ref="I11:I16" si="6">60*H11/G11</f>
        <v>14</v>
      </c>
      <c r="J11" s="101">
        <f t="shared" ref="J11:J16" si="7">I11/100*A11/100*0.8</f>
        <v>0</v>
      </c>
      <c r="K11" s="340">
        <f t="shared" ref="K11:K16" si="8">J11/E11</f>
        <v>0</v>
      </c>
      <c r="L11" s="41"/>
      <c r="M11" s="341"/>
      <c r="N11" s="73"/>
      <c r="O11" s="43"/>
      <c r="P11" s="43"/>
      <c r="Q11" s="69"/>
      <c r="R11" s="70"/>
      <c r="S11" s="70"/>
    </row>
    <row r="12" spans="1:27" x14ac:dyDescent="0.25">
      <c r="A12" s="74">
        <f t="shared" si="1"/>
        <v>100</v>
      </c>
      <c r="B12" s="128">
        <f t="shared" si="2"/>
        <v>20</v>
      </c>
      <c r="C12" s="43">
        <v>76</v>
      </c>
      <c r="D12" s="43">
        <f t="shared" si="3"/>
        <v>1</v>
      </c>
      <c r="E12" s="343">
        <f t="shared" si="4"/>
        <v>4.5599999999999996</v>
      </c>
      <c r="F12" s="100">
        <f t="shared" si="5"/>
        <v>4.33</v>
      </c>
      <c r="G12" s="43">
        <v>60</v>
      </c>
      <c r="H12" s="24">
        <v>13</v>
      </c>
      <c r="I12" s="72">
        <f t="shared" si="6"/>
        <v>13</v>
      </c>
      <c r="J12" s="101">
        <f t="shared" si="7"/>
        <v>0.10400000000000001</v>
      </c>
      <c r="K12" s="340">
        <f t="shared" si="8"/>
        <v>2.2807017543859654E-2</v>
      </c>
      <c r="L12" s="41"/>
      <c r="M12" s="341">
        <f>I12/$I$12</f>
        <v>1</v>
      </c>
      <c r="N12" s="73"/>
      <c r="O12" s="43"/>
      <c r="P12" s="43"/>
      <c r="Z12" s="40">
        <v>100</v>
      </c>
      <c r="AA12" s="40">
        <f t="shared" si="0"/>
        <v>150</v>
      </c>
    </row>
    <row r="13" spans="1:27" x14ac:dyDescent="0.25">
      <c r="A13" s="74">
        <f t="shared" si="1"/>
        <v>500</v>
      </c>
      <c r="B13" s="128">
        <f t="shared" si="2"/>
        <v>20</v>
      </c>
      <c r="C13" s="43">
        <v>95</v>
      </c>
      <c r="D13" s="43">
        <f t="shared" si="3"/>
        <v>1</v>
      </c>
      <c r="E13" s="343">
        <f t="shared" si="4"/>
        <v>5.7</v>
      </c>
      <c r="F13" s="100">
        <f t="shared" si="5"/>
        <v>5.4700000000000006</v>
      </c>
      <c r="G13" s="43">
        <v>60</v>
      </c>
      <c r="H13" s="24">
        <v>13</v>
      </c>
      <c r="I13" s="72">
        <f t="shared" si="6"/>
        <v>13</v>
      </c>
      <c r="J13" s="101">
        <f t="shared" si="7"/>
        <v>0.52</v>
      </c>
      <c r="K13" s="340">
        <f t="shared" si="8"/>
        <v>9.1228070175438603E-2</v>
      </c>
      <c r="L13" s="41"/>
      <c r="M13" s="341">
        <f>I13/$I$12</f>
        <v>1</v>
      </c>
      <c r="N13" s="73"/>
      <c r="O13" s="43"/>
      <c r="P13" s="43"/>
      <c r="Z13" s="40">
        <v>200</v>
      </c>
      <c r="AA13" s="40">
        <f t="shared" si="0"/>
        <v>300</v>
      </c>
    </row>
    <row r="14" spans="1:27" x14ac:dyDescent="0.25">
      <c r="A14" s="74">
        <f t="shared" si="1"/>
        <v>1000</v>
      </c>
      <c r="B14" s="128">
        <f t="shared" si="2"/>
        <v>20</v>
      </c>
      <c r="C14" s="43">
        <v>131</v>
      </c>
      <c r="D14" s="43">
        <f t="shared" si="3"/>
        <v>1</v>
      </c>
      <c r="E14" s="343">
        <f t="shared" si="4"/>
        <v>7.86</v>
      </c>
      <c r="F14" s="100">
        <f t="shared" si="5"/>
        <v>7.6300000000000008</v>
      </c>
      <c r="G14" s="43">
        <v>60</v>
      </c>
      <c r="H14" s="24">
        <v>13</v>
      </c>
      <c r="I14" s="72">
        <f t="shared" si="6"/>
        <v>13</v>
      </c>
      <c r="J14" s="101">
        <f t="shared" si="7"/>
        <v>1.04</v>
      </c>
      <c r="K14" s="340">
        <f t="shared" si="8"/>
        <v>0.13231552162849872</v>
      </c>
      <c r="L14" s="41"/>
      <c r="M14" s="341">
        <f>I14/$I$12</f>
        <v>1</v>
      </c>
      <c r="N14" s="73"/>
      <c r="O14" s="43"/>
      <c r="P14" s="43"/>
      <c r="Z14" s="40">
        <v>300</v>
      </c>
      <c r="AA14" s="40">
        <f t="shared" si="0"/>
        <v>450</v>
      </c>
    </row>
    <row r="15" spans="1:27" x14ac:dyDescent="0.25">
      <c r="A15" s="74">
        <f t="shared" si="1"/>
        <v>2000</v>
      </c>
      <c r="B15" s="128">
        <f t="shared" si="2"/>
        <v>20</v>
      </c>
      <c r="C15" s="43">
        <v>207</v>
      </c>
      <c r="D15" s="43">
        <f t="shared" si="3"/>
        <v>1</v>
      </c>
      <c r="E15" s="343">
        <f t="shared" si="4"/>
        <v>12.42</v>
      </c>
      <c r="F15" s="100">
        <f t="shared" si="5"/>
        <v>12.19</v>
      </c>
      <c r="G15" s="43">
        <v>60</v>
      </c>
      <c r="H15" s="24">
        <v>12</v>
      </c>
      <c r="I15" s="72">
        <f t="shared" si="6"/>
        <v>12</v>
      </c>
      <c r="J15" s="101">
        <f t="shared" si="7"/>
        <v>1.92</v>
      </c>
      <c r="K15" s="340">
        <f t="shared" si="8"/>
        <v>0.15458937198067632</v>
      </c>
      <c r="L15" s="41"/>
      <c r="M15" s="341">
        <f>I15/$I$12</f>
        <v>0.92307692307692313</v>
      </c>
      <c r="N15" s="73"/>
      <c r="O15" s="43"/>
      <c r="P15" s="43"/>
      <c r="Z15" s="40">
        <v>400</v>
      </c>
      <c r="AA15" s="40">
        <f>Z15/400*600</f>
        <v>600</v>
      </c>
    </row>
    <row r="16" spans="1:27" x14ac:dyDescent="0.25">
      <c r="A16" s="74">
        <f t="shared" si="1"/>
        <v>3000</v>
      </c>
      <c r="B16" s="128">
        <f t="shared" si="2"/>
        <v>20</v>
      </c>
      <c r="C16" s="43">
        <v>307</v>
      </c>
      <c r="D16" s="43">
        <f t="shared" si="3"/>
        <v>1</v>
      </c>
      <c r="E16" s="343">
        <f t="shared" si="4"/>
        <v>18.420000000000002</v>
      </c>
      <c r="F16" s="100">
        <f t="shared" si="5"/>
        <v>18.190000000000001</v>
      </c>
      <c r="G16" s="43">
        <v>60</v>
      </c>
      <c r="H16" s="24">
        <v>11</v>
      </c>
      <c r="I16" s="72">
        <f t="shared" si="6"/>
        <v>11</v>
      </c>
      <c r="J16" s="101">
        <f t="shared" si="7"/>
        <v>2.64</v>
      </c>
      <c r="K16" s="340">
        <f t="shared" si="8"/>
        <v>0.14332247557003255</v>
      </c>
      <c r="L16" s="41"/>
      <c r="M16" s="341">
        <f>I16/$I$12</f>
        <v>0.84615384615384615</v>
      </c>
      <c r="N16" s="73"/>
      <c r="O16" s="43"/>
      <c r="P16" s="43"/>
    </row>
    <row r="17" spans="1:27" x14ac:dyDescent="0.25">
      <c r="A17" s="74"/>
      <c r="B17" s="74"/>
      <c r="C17" s="43"/>
      <c r="D17" s="43"/>
      <c r="E17" s="343"/>
      <c r="F17" s="100"/>
      <c r="G17" s="24"/>
      <c r="H17" s="24"/>
      <c r="I17" s="72"/>
      <c r="J17" s="101"/>
      <c r="K17" s="41"/>
      <c r="L17" s="41"/>
      <c r="M17" s="341"/>
      <c r="N17" s="73"/>
      <c r="O17" s="43"/>
      <c r="P17" s="43"/>
    </row>
    <row r="18" spans="1:27" x14ac:dyDescent="0.25">
      <c r="A18" s="74">
        <f t="shared" ref="A18:A23" si="9">Q3</f>
        <v>0</v>
      </c>
      <c r="B18" s="74">
        <f t="shared" ref="B18:B23" si="10">P$4</f>
        <v>136</v>
      </c>
      <c r="C18" s="43">
        <v>193</v>
      </c>
      <c r="D18" s="43">
        <f t="shared" ref="D18:D23" si="11">60/60</f>
        <v>1</v>
      </c>
      <c r="E18" s="343">
        <f t="shared" ref="E18:E23" si="12">60/D18*C18/1000</f>
        <v>11.58</v>
      </c>
      <c r="F18" s="100">
        <f t="shared" ref="F18:F23" si="13">E18-$J$7</f>
        <v>11.35</v>
      </c>
      <c r="G18" s="43">
        <v>60</v>
      </c>
      <c r="H18" s="24">
        <v>95</v>
      </c>
      <c r="I18" s="72">
        <f t="shared" ref="I18:I23" si="14">60*H18/G18</f>
        <v>95</v>
      </c>
      <c r="J18" s="101">
        <f t="shared" ref="J18:J23" si="15">I18/100*A18/100*0.8</f>
        <v>0</v>
      </c>
      <c r="K18" s="340">
        <f t="shared" ref="K18:K23" si="16">J18/E18</f>
        <v>0</v>
      </c>
      <c r="L18" s="41"/>
      <c r="M18" s="341"/>
      <c r="N18" s="73"/>
      <c r="O18" s="43"/>
      <c r="P18" s="43"/>
      <c r="Q18" s="69"/>
      <c r="R18" s="70"/>
      <c r="S18" s="70"/>
    </row>
    <row r="19" spans="1:27" x14ac:dyDescent="0.25">
      <c r="A19" s="74">
        <f t="shared" si="9"/>
        <v>100</v>
      </c>
      <c r="B19" s="74">
        <f t="shared" si="10"/>
        <v>136</v>
      </c>
      <c r="C19" s="43">
        <v>230</v>
      </c>
      <c r="D19" s="43">
        <f t="shared" si="11"/>
        <v>1</v>
      </c>
      <c r="E19" s="343">
        <f t="shared" si="12"/>
        <v>13.8</v>
      </c>
      <c r="F19" s="100">
        <f t="shared" si="13"/>
        <v>13.57</v>
      </c>
      <c r="G19" s="43">
        <v>60</v>
      </c>
      <c r="H19" s="24">
        <v>90</v>
      </c>
      <c r="I19" s="72">
        <f t="shared" si="14"/>
        <v>90</v>
      </c>
      <c r="J19" s="101">
        <f t="shared" si="15"/>
        <v>0.72000000000000008</v>
      </c>
      <c r="K19" s="340">
        <f t="shared" si="16"/>
        <v>5.2173913043478265E-2</v>
      </c>
      <c r="L19" s="41"/>
      <c r="M19" s="341">
        <f t="shared" ref="M19:M24" si="17">I19/$I$19</f>
        <v>1</v>
      </c>
      <c r="N19" s="73"/>
      <c r="O19" s="43"/>
      <c r="P19" s="43"/>
      <c r="Z19" s="40">
        <v>100</v>
      </c>
      <c r="AA19" s="40">
        <f>Z19/400*600</f>
        <v>150</v>
      </c>
    </row>
    <row r="20" spans="1:27" x14ac:dyDescent="0.25">
      <c r="A20" s="74">
        <f t="shared" si="9"/>
        <v>500</v>
      </c>
      <c r="B20" s="74">
        <f t="shared" si="10"/>
        <v>136</v>
      </c>
      <c r="C20" s="43">
        <v>282</v>
      </c>
      <c r="D20" s="43">
        <f t="shared" si="11"/>
        <v>1</v>
      </c>
      <c r="E20" s="343">
        <f t="shared" si="12"/>
        <v>16.920000000000002</v>
      </c>
      <c r="F20" s="100">
        <f t="shared" si="13"/>
        <v>16.690000000000001</v>
      </c>
      <c r="G20" s="43">
        <v>60</v>
      </c>
      <c r="H20" s="24">
        <v>90</v>
      </c>
      <c r="I20" s="72">
        <f t="shared" si="14"/>
        <v>90</v>
      </c>
      <c r="J20" s="101">
        <f t="shared" si="15"/>
        <v>3.6</v>
      </c>
      <c r="K20" s="340">
        <f t="shared" si="16"/>
        <v>0.21276595744680848</v>
      </c>
      <c r="L20" s="41"/>
      <c r="M20" s="341">
        <f t="shared" si="17"/>
        <v>1</v>
      </c>
      <c r="N20" s="73"/>
      <c r="O20" s="43"/>
      <c r="P20" s="43"/>
      <c r="Z20" s="40">
        <v>200</v>
      </c>
      <c r="AA20" s="40">
        <f>Z20/400*600</f>
        <v>300</v>
      </c>
    </row>
    <row r="21" spans="1:27" x14ac:dyDescent="0.25">
      <c r="A21" s="74">
        <f t="shared" si="9"/>
        <v>1000</v>
      </c>
      <c r="B21" s="74">
        <f t="shared" si="10"/>
        <v>136</v>
      </c>
      <c r="C21" s="43">
        <v>372</v>
      </c>
      <c r="D21" s="43">
        <f t="shared" si="11"/>
        <v>1</v>
      </c>
      <c r="E21" s="343">
        <f t="shared" si="12"/>
        <v>22.32</v>
      </c>
      <c r="F21" s="100">
        <f t="shared" si="13"/>
        <v>22.09</v>
      </c>
      <c r="G21" s="43">
        <v>60</v>
      </c>
      <c r="H21" s="24">
        <v>90</v>
      </c>
      <c r="I21" s="72">
        <f t="shared" si="14"/>
        <v>90</v>
      </c>
      <c r="J21" s="101">
        <f t="shared" si="15"/>
        <v>7.2</v>
      </c>
      <c r="K21" s="340">
        <f t="shared" si="16"/>
        <v>0.32258064516129031</v>
      </c>
      <c r="L21" s="41"/>
      <c r="M21" s="341">
        <f t="shared" si="17"/>
        <v>1</v>
      </c>
      <c r="N21" s="73"/>
      <c r="O21" s="43"/>
      <c r="P21" s="43"/>
      <c r="Z21" s="40">
        <v>300</v>
      </c>
      <c r="AA21" s="40">
        <f>Z21/400*600</f>
        <v>450</v>
      </c>
    </row>
    <row r="22" spans="1:27" x14ac:dyDescent="0.25">
      <c r="A22" s="74">
        <f t="shared" si="9"/>
        <v>2000</v>
      </c>
      <c r="B22" s="74">
        <f t="shared" si="10"/>
        <v>136</v>
      </c>
      <c r="C22" s="43">
        <v>637</v>
      </c>
      <c r="D22" s="43">
        <f t="shared" si="11"/>
        <v>1</v>
      </c>
      <c r="E22" s="343">
        <f t="shared" si="12"/>
        <v>38.22</v>
      </c>
      <c r="F22" s="100">
        <f t="shared" si="13"/>
        <v>37.99</v>
      </c>
      <c r="G22" s="43">
        <v>60</v>
      </c>
      <c r="H22" s="24">
        <v>85</v>
      </c>
      <c r="I22" s="72">
        <f t="shared" si="14"/>
        <v>85</v>
      </c>
      <c r="J22" s="101">
        <f t="shared" si="15"/>
        <v>13.600000000000001</v>
      </c>
      <c r="K22" s="340">
        <f t="shared" si="16"/>
        <v>0.3558346415489273</v>
      </c>
      <c r="L22" s="41"/>
      <c r="M22" s="341">
        <f t="shared" si="17"/>
        <v>0.94444444444444442</v>
      </c>
      <c r="N22" s="73"/>
      <c r="O22" s="43"/>
      <c r="P22" s="43"/>
      <c r="Z22" s="40">
        <v>400</v>
      </c>
      <c r="AA22" s="40">
        <f>Z22/400*600</f>
        <v>600</v>
      </c>
    </row>
    <row r="23" spans="1:27" x14ac:dyDescent="0.25">
      <c r="A23" s="74">
        <f t="shared" si="9"/>
        <v>3000</v>
      </c>
      <c r="B23" s="74">
        <f t="shared" si="10"/>
        <v>136</v>
      </c>
      <c r="C23" s="43">
        <v>867</v>
      </c>
      <c r="D23" s="43">
        <f t="shared" si="11"/>
        <v>1</v>
      </c>
      <c r="E23" s="343">
        <f t="shared" si="12"/>
        <v>52.02</v>
      </c>
      <c r="F23" s="100">
        <f t="shared" si="13"/>
        <v>51.790000000000006</v>
      </c>
      <c r="G23" s="43">
        <v>60</v>
      </c>
      <c r="H23" s="24">
        <v>80</v>
      </c>
      <c r="I23" s="72">
        <f t="shared" si="14"/>
        <v>80</v>
      </c>
      <c r="J23" s="101">
        <f t="shared" si="15"/>
        <v>19.200000000000003</v>
      </c>
      <c r="K23" s="340">
        <f t="shared" si="16"/>
        <v>0.3690888119953864</v>
      </c>
      <c r="L23" s="41"/>
      <c r="M23" s="341">
        <f t="shared" si="17"/>
        <v>0.88888888888888884</v>
      </c>
      <c r="N23" s="73"/>
      <c r="O23" s="43"/>
      <c r="P23" s="43"/>
    </row>
    <row r="24" spans="1:27" x14ac:dyDescent="0.25">
      <c r="A24" s="128"/>
      <c r="B24" s="128"/>
      <c r="C24" s="43"/>
      <c r="D24" s="43"/>
      <c r="E24" s="343"/>
      <c r="F24" s="100"/>
      <c r="G24" s="24"/>
      <c r="H24" s="24"/>
      <c r="I24" s="72"/>
      <c r="J24" s="101"/>
      <c r="K24" s="41"/>
      <c r="L24" s="41"/>
      <c r="M24" s="341">
        <f t="shared" si="17"/>
        <v>0</v>
      </c>
      <c r="N24" s="73"/>
      <c r="O24" s="43"/>
      <c r="P24" s="43"/>
    </row>
    <row r="25" spans="1:27" x14ac:dyDescent="0.25">
      <c r="A25" s="128">
        <f t="shared" ref="A25:A30" si="18">Q3</f>
        <v>0</v>
      </c>
      <c r="B25" s="128">
        <f t="shared" ref="B25:B30" si="19">P$5</f>
        <v>252</v>
      </c>
      <c r="C25" s="43">
        <v>322</v>
      </c>
      <c r="D25" s="43">
        <f t="shared" ref="D25:D30" si="20">60/60</f>
        <v>1</v>
      </c>
      <c r="E25" s="343">
        <f t="shared" ref="E25:E30" si="21">60/D25*C25/1000</f>
        <v>19.32</v>
      </c>
      <c r="F25" s="100">
        <f t="shared" ref="F25:F30" si="22">E25-$J$7</f>
        <v>19.09</v>
      </c>
      <c r="G25" s="43">
        <v>60</v>
      </c>
      <c r="H25" s="43">
        <v>175</v>
      </c>
      <c r="I25" s="72">
        <f t="shared" ref="I25:I30" si="23">60*H25/G25</f>
        <v>175</v>
      </c>
      <c r="J25" s="101">
        <f t="shared" ref="J25:J30" si="24">I25/100*A25/100*0.8</f>
        <v>0</v>
      </c>
      <c r="K25" s="340">
        <f t="shared" ref="K25:K30" si="25">J25/E25</f>
        <v>0</v>
      </c>
      <c r="L25" s="41"/>
      <c r="M25" s="341"/>
      <c r="N25" s="73"/>
      <c r="O25" s="43"/>
      <c r="P25" s="43"/>
      <c r="Q25" s="69"/>
      <c r="R25" s="70"/>
      <c r="S25" s="70"/>
    </row>
    <row r="26" spans="1:27" x14ac:dyDescent="0.25">
      <c r="A26" s="128">
        <f t="shared" si="18"/>
        <v>100</v>
      </c>
      <c r="B26" s="128">
        <f t="shared" si="19"/>
        <v>252</v>
      </c>
      <c r="C26" s="43">
        <v>378</v>
      </c>
      <c r="D26" s="43">
        <f t="shared" si="20"/>
        <v>1</v>
      </c>
      <c r="E26" s="343">
        <f t="shared" si="21"/>
        <v>22.68</v>
      </c>
      <c r="F26" s="100">
        <f t="shared" si="22"/>
        <v>22.45</v>
      </c>
      <c r="G26" s="43">
        <v>60</v>
      </c>
      <c r="H26" s="24">
        <v>170</v>
      </c>
      <c r="I26" s="72">
        <f t="shared" si="23"/>
        <v>170</v>
      </c>
      <c r="J26" s="101">
        <f t="shared" si="24"/>
        <v>1.36</v>
      </c>
      <c r="K26" s="340">
        <f t="shared" si="25"/>
        <v>5.9964726631393302E-2</v>
      </c>
      <c r="L26" s="41"/>
      <c r="M26" s="341">
        <f>I26/$I$26</f>
        <v>1</v>
      </c>
      <c r="N26" s="73"/>
      <c r="O26" s="43"/>
      <c r="P26" s="43"/>
      <c r="Z26" s="40">
        <v>100</v>
      </c>
      <c r="AA26" s="40">
        <f>Z26/400*600</f>
        <v>150</v>
      </c>
    </row>
    <row r="27" spans="1:27" x14ac:dyDescent="0.25">
      <c r="A27" s="128">
        <f t="shared" si="18"/>
        <v>500</v>
      </c>
      <c r="B27" s="128">
        <f t="shared" si="19"/>
        <v>252</v>
      </c>
      <c r="C27" s="43">
        <v>462</v>
      </c>
      <c r="D27" s="43">
        <f t="shared" si="20"/>
        <v>1</v>
      </c>
      <c r="E27" s="343">
        <f t="shared" si="21"/>
        <v>27.72</v>
      </c>
      <c r="F27" s="100">
        <f t="shared" si="22"/>
        <v>27.49</v>
      </c>
      <c r="G27" s="43">
        <v>60</v>
      </c>
      <c r="H27" s="24">
        <v>165</v>
      </c>
      <c r="I27" s="72">
        <f t="shared" si="23"/>
        <v>165</v>
      </c>
      <c r="J27" s="101">
        <f t="shared" si="24"/>
        <v>6.6000000000000005</v>
      </c>
      <c r="K27" s="340">
        <f t="shared" si="25"/>
        <v>0.23809523809523814</v>
      </c>
      <c r="L27" s="41"/>
      <c r="M27" s="341">
        <f>I27/$I$26</f>
        <v>0.97058823529411764</v>
      </c>
      <c r="N27" s="73"/>
      <c r="O27" s="43"/>
      <c r="P27" s="43"/>
      <c r="Z27" s="40">
        <v>200</v>
      </c>
      <c r="AA27" s="40">
        <f>Z27/400*600</f>
        <v>300</v>
      </c>
    </row>
    <row r="28" spans="1:27" x14ac:dyDescent="0.25">
      <c r="A28" s="128">
        <f t="shared" si="18"/>
        <v>1000</v>
      </c>
      <c r="B28" s="128">
        <f t="shared" si="19"/>
        <v>252</v>
      </c>
      <c r="C28" s="43">
        <v>593</v>
      </c>
      <c r="D28" s="43">
        <f t="shared" si="20"/>
        <v>1</v>
      </c>
      <c r="E28" s="343">
        <f t="shared" si="21"/>
        <v>35.58</v>
      </c>
      <c r="F28" s="100">
        <f t="shared" si="22"/>
        <v>35.35</v>
      </c>
      <c r="G28" s="43">
        <v>60</v>
      </c>
      <c r="H28" s="24">
        <v>160</v>
      </c>
      <c r="I28" s="72">
        <f t="shared" si="23"/>
        <v>160</v>
      </c>
      <c r="J28" s="101">
        <f t="shared" si="24"/>
        <v>12.8</v>
      </c>
      <c r="K28" s="340">
        <f t="shared" si="25"/>
        <v>0.35975267003934797</v>
      </c>
      <c r="L28" s="41"/>
      <c r="M28" s="341">
        <f>I28/$I$26</f>
        <v>0.94117647058823528</v>
      </c>
      <c r="N28" s="73"/>
      <c r="O28" s="43"/>
      <c r="P28" s="43"/>
      <c r="Z28" s="40">
        <v>300</v>
      </c>
      <c r="AA28" s="40">
        <f>Z28/400*600</f>
        <v>450</v>
      </c>
    </row>
    <row r="29" spans="1:27" x14ac:dyDescent="0.25">
      <c r="A29" s="128">
        <f t="shared" si="18"/>
        <v>2000</v>
      </c>
      <c r="B29" s="128">
        <f t="shared" si="19"/>
        <v>252</v>
      </c>
      <c r="C29" s="43">
        <v>882</v>
      </c>
      <c r="D29" s="43">
        <f t="shared" si="20"/>
        <v>1</v>
      </c>
      <c r="E29" s="343">
        <f t="shared" si="21"/>
        <v>52.92</v>
      </c>
      <c r="F29" s="100">
        <f t="shared" si="22"/>
        <v>52.690000000000005</v>
      </c>
      <c r="G29" s="43">
        <v>60</v>
      </c>
      <c r="H29" s="24">
        <v>155</v>
      </c>
      <c r="I29" s="72">
        <f t="shared" si="23"/>
        <v>155</v>
      </c>
      <c r="J29" s="101">
        <f t="shared" si="24"/>
        <v>24.8</v>
      </c>
      <c r="K29" s="340">
        <f t="shared" si="25"/>
        <v>0.46863189720332576</v>
      </c>
      <c r="L29" s="41"/>
      <c r="M29" s="341">
        <f>I29/$I$26</f>
        <v>0.91176470588235292</v>
      </c>
      <c r="N29" s="73"/>
      <c r="O29" s="43"/>
      <c r="P29" s="43"/>
      <c r="Z29" s="40">
        <v>400</v>
      </c>
      <c r="AA29" s="40">
        <f>Z29/400*600</f>
        <v>600</v>
      </c>
    </row>
    <row r="30" spans="1:27" x14ac:dyDescent="0.25">
      <c r="A30" s="128">
        <f t="shared" si="18"/>
        <v>3000</v>
      </c>
      <c r="B30" s="128">
        <f t="shared" si="19"/>
        <v>252</v>
      </c>
      <c r="C30" s="43">
        <v>1230</v>
      </c>
      <c r="D30" s="43">
        <f t="shared" si="20"/>
        <v>1</v>
      </c>
      <c r="E30" s="343">
        <f t="shared" si="21"/>
        <v>73.8</v>
      </c>
      <c r="F30" s="100">
        <f t="shared" si="22"/>
        <v>73.569999999999993</v>
      </c>
      <c r="G30" s="43">
        <v>60</v>
      </c>
      <c r="H30" s="24">
        <v>150</v>
      </c>
      <c r="I30" s="72">
        <f t="shared" si="23"/>
        <v>150</v>
      </c>
      <c r="J30" s="101">
        <f t="shared" si="24"/>
        <v>36</v>
      </c>
      <c r="K30" s="340">
        <f t="shared" si="25"/>
        <v>0.48780487804878053</v>
      </c>
      <c r="L30" s="41"/>
      <c r="M30" s="341">
        <f>I30/$I$26</f>
        <v>0.88235294117647056</v>
      </c>
      <c r="N30" s="73"/>
      <c r="O30" s="43"/>
      <c r="P30" s="43"/>
    </row>
    <row r="31" spans="1:27" x14ac:dyDescent="0.25">
      <c r="A31" s="74"/>
      <c r="B31" s="128"/>
      <c r="C31" s="43"/>
      <c r="D31" s="43"/>
      <c r="E31" s="343"/>
      <c r="F31" s="100"/>
      <c r="G31" s="24"/>
      <c r="H31" s="24"/>
      <c r="I31" s="72"/>
      <c r="J31" s="101"/>
      <c r="K31" s="41"/>
      <c r="L31" s="41"/>
      <c r="M31" s="341"/>
      <c r="N31" s="73"/>
      <c r="O31" s="43"/>
      <c r="P31" s="43"/>
    </row>
    <row r="32" spans="1:27" x14ac:dyDescent="0.25">
      <c r="A32" s="128">
        <f t="shared" ref="A32:A37" si="26">Q3</f>
        <v>0</v>
      </c>
      <c r="B32" s="128">
        <f t="shared" ref="B32:B37" si="27">P$6</f>
        <v>368</v>
      </c>
      <c r="C32" s="43">
        <v>435</v>
      </c>
      <c r="D32" s="112">
        <f>60/60</f>
        <v>1</v>
      </c>
      <c r="E32" s="343">
        <f t="shared" ref="E32:E37" si="28">60/D32*C32/1000</f>
        <v>26.1</v>
      </c>
      <c r="F32" s="100">
        <f t="shared" ref="F32:F37" si="29">E32-$J$7</f>
        <v>25.87</v>
      </c>
      <c r="G32" s="24">
        <v>60</v>
      </c>
      <c r="H32" s="24">
        <v>250</v>
      </c>
      <c r="I32" s="72">
        <f t="shared" ref="I32:I37" si="30">60*H32/G32</f>
        <v>250</v>
      </c>
      <c r="J32" s="101">
        <f t="shared" ref="J32:J37" si="31">I32/100*A32/100*0.8</f>
        <v>0</v>
      </c>
      <c r="K32" s="340">
        <f t="shared" ref="K32:K37" si="32">J32/E32</f>
        <v>0</v>
      </c>
      <c r="L32" s="41"/>
      <c r="M32" s="341"/>
      <c r="N32" s="73"/>
      <c r="O32" s="43"/>
      <c r="P32" s="43"/>
      <c r="Q32" s="69"/>
      <c r="R32" s="70"/>
      <c r="S32" s="70"/>
    </row>
    <row r="33" spans="1:27" x14ac:dyDescent="0.25">
      <c r="A33" s="128">
        <f t="shared" si="26"/>
        <v>100</v>
      </c>
      <c r="B33" s="128">
        <f t="shared" si="27"/>
        <v>368</v>
      </c>
      <c r="C33" s="43">
        <v>542</v>
      </c>
      <c r="D33" s="112">
        <f>62/60</f>
        <v>1.0333333333333334</v>
      </c>
      <c r="E33" s="343">
        <f t="shared" si="28"/>
        <v>31.470967741935478</v>
      </c>
      <c r="F33" s="100">
        <f t="shared" si="29"/>
        <v>31.240967741935478</v>
      </c>
      <c r="G33" s="24">
        <v>60</v>
      </c>
      <c r="H33" s="24">
        <v>245</v>
      </c>
      <c r="I33" s="72">
        <f t="shared" si="30"/>
        <v>245</v>
      </c>
      <c r="J33" s="101">
        <f t="shared" si="31"/>
        <v>1.9600000000000002</v>
      </c>
      <c r="K33" s="340">
        <f t="shared" si="32"/>
        <v>6.2279622796227979E-2</v>
      </c>
      <c r="L33" s="41"/>
      <c r="M33" s="341">
        <f>I33/$I$33</f>
        <v>1</v>
      </c>
      <c r="N33" s="73"/>
      <c r="O33" s="43"/>
      <c r="P33" s="43"/>
      <c r="Z33" s="40">
        <v>100</v>
      </c>
      <c r="AA33" s="40">
        <f>Z33/400*600</f>
        <v>150</v>
      </c>
    </row>
    <row r="34" spans="1:27" x14ac:dyDescent="0.25">
      <c r="A34" s="128">
        <f t="shared" si="26"/>
        <v>500</v>
      </c>
      <c r="B34" s="128">
        <f t="shared" si="27"/>
        <v>368</v>
      </c>
      <c r="C34" s="43">
        <v>761</v>
      </c>
      <c r="D34" s="112">
        <f>72/60</f>
        <v>1.2</v>
      </c>
      <c r="E34" s="343">
        <f t="shared" si="28"/>
        <v>38.049999999999997</v>
      </c>
      <c r="F34" s="100">
        <f t="shared" si="29"/>
        <v>37.82</v>
      </c>
      <c r="G34" s="24">
        <v>60</v>
      </c>
      <c r="H34" s="24">
        <v>240</v>
      </c>
      <c r="I34" s="72">
        <f t="shared" si="30"/>
        <v>240</v>
      </c>
      <c r="J34" s="101">
        <f t="shared" si="31"/>
        <v>9.6000000000000014</v>
      </c>
      <c r="K34" s="340">
        <f t="shared" si="32"/>
        <v>0.252299605781866</v>
      </c>
      <c r="L34" s="41"/>
      <c r="M34" s="341">
        <f>I34/$I$33</f>
        <v>0.97959183673469385</v>
      </c>
      <c r="N34" s="73"/>
      <c r="O34" s="43"/>
      <c r="P34" s="43"/>
      <c r="Z34" s="40">
        <v>200</v>
      </c>
      <c r="AA34" s="40">
        <f>Z34/400*600</f>
        <v>300</v>
      </c>
    </row>
    <row r="35" spans="1:27" x14ac:dyDescent="0.25">
      <c r="A35" s="128">
        <f t="shared" si="26"/>
        <v>1000</v>
      </c>
      <c r="B35" s="128">
        <f t="shared" si="27"/>
        <v>368</v>
      </c>
      <c r="C35" s="43">
        <v>813</v>
      </c>
      <c r="D35" s="112">
        <f>60/60</f>
        <v>1</v>
      </c>
      <c r="E35" s="343">
        <f t="shared" si="28"/>
        <v>48.78</v>
      </c>
      <c r="F35" s="100">
        <f t="shared" si="29"/>
        <v>48.550000000000004</v>
      </c>
      <c r="G35" s="24">
        <v>60</v>
      </c>
      <c r="H35" s="24">
        <v>235</v>
      </c>
      <c r="I35" s="72">
        <f t="shared" si="30"/>
        <v>235</v>
      </c>
      <c r="J35" s="101">
        <f t="shared" si="31"/>
        <v>18.8</v>
      </c>
      <c r="K35" s="340">
        <f t="shared" si="32"/>
        <v>0.38540385403854038</v>
      </c>
      <c r="L35" s="41"/>
      <c r="M35" s="341">
        <f>I35/$I$33</f>
        <v>0.95918367346938771</v>
      </c>
      <c r="N35" s="73"/>
      <c r="O35" s="43"/>
      <c r="P35" s="43"/>
      <c r="Z35" s="40">
        <v>300</v>
      </c>
      <c r="AA35" s="40">
        <f>Z35/400*600</f>
        <v>450</v>
      </c>
    </row>
    <row r="36" spans="1:27" x14ac:dyDescent="0.25">
      <c r="A36" s="128">
        <f t="shared" si="26"/>
        <v>2000</v>
      </c>
      <c r="B36" s="128">
        <f t="shared" si="27"/>
        <v>368</v>
      </c>
      <c r="C36" s="43">
        <v>1199</v>
      </c>
      <c r="D36" s="112">
        <f>60/60</f>
        <v>1</v>
      </c>
      <c r="E36" s="343">
        <f t="shared" si="28"/>
        <v>71.94</v>
      </c>
      <c r="F36" s="100">
        <f t="shared" si="29"/>
        <v>71.709999999999994</v>
      </c>
      <c r="G36" s="24">
        <v>60</v>
      </c>
      <c r="H36" s="24">
        <v>225</v>
      </c>
      <c r="I36" s="72">
        <f t="shared" si="30"/>
        <v>225</v>
      </c>
      <c r="J36" s="101">
        <f t="shared" si="31"/>
        <v>36</v>
      </c>
      <c r="K36" s="340">
        <f t="shared" si="32"/>
        <v>0.50041701417848206</v>
      </c>
      <c r="L36" s="41"/>
      <c r="M36" s="341">
        <f>I36/$I$33</f>
        <v>0.91836734693877553</v>
      </c>
      <c r="N36" s="73"/>
      <c r="O36" s="43"/>
      <c r="P36" s="43"/>
      <c r="Z36" s="40">
        <v>400</v>
      </c>
      <c r="AA36" s="40">
        <f>Z36/400*600</f>
        <v>600</v>
      </c>
    </row>
    <row r="37" spans="1:27" x14ac:dyDescent="0.25">
      <c r="A37" s="128">
        <f t="shared" si="26"/>
        <v>3000</v>
      </c>
      <c r="B37" s="128">
        <f t="shared" si="27"/>
        <v>368</v>
      </c>
      <c r="C37" s="43">
        <v>1605</v>
      </c>
      <c r="D37" s="112">
        <f>60/60</f>
        <v>1</v>
      </c>
      <c r="E37" s="343">
        <f t="shared" si="28"/>
        <v>96.3</v>
      </c>
      <c r="F37" s="100">
        <f t="shared" si="29"/>
        <v>96.07</v>
      </c>
      <c r="G37" s="24">
        <v>60</v>
      </c>
      <c r="H37" s="24">
        <v>215</v>
      </c>
      <c r="I37" s="72">
        <f t="shared" si="30"/>
        <v>215</v>
      </c>
      <c r="J37" s="101">
        <f t="shared" si="31"/>
        <v>51.6</v>
      </c>
      <c r="K37" s="340">
        <f t="shared" si="32"/>
        <v>0.53582554517133962</v>
      </c>
      <c r="L37" s="41"/>
      <c r="M37" s="341">
        <f>I37/$I$33</f>
        <v>0.87755102040816324</v>
      </c>
      <c r="N37" s="73"/>
      <c r="O37" s="43"/>
      <c r="P37" s="43"/>
    </row>
    <row r="38" spans="1:27" x14ac:dyDescent="0.25">
      <c r="A38" s="128"/>
      <c r="B38" s="128"/>
      <c r="C38" s="43"/>
      <c r="D38" s="112"/>
      <c r="E38" s="343"/>
      <c r="F38" s="100"/>
      <c r="G38" s="24"/>
      <c r="H38" s="24"/>
      <c r="I38" s="72"/>
      <c r="J38" s="101"/>
      <c r="K38" s="41"/>
      <c r="L38" s="41"/>
      <c r="M38" s="341"/>
      <c r="N38" s="73"/>
      <c r="O38" s="43"/>
      <c r="P38" s="43"/>
    </row>
    <row r="39" spans="1:27" x14ac:dyDescent="0.25">
      <c r="A39" s="128">
        <f t="shared" ref="A39:A44" si="33">Q3</f>
        <v>0</v>
      </c>
      <c r="B39" s="128">
        <f t="shared" ref="B39:B44" si="34">P$7</f>
        <v>484</v>
      </c>
      <c r="C39" s="43">
        <v>778</v>
      </c>
      <c r="D39" s="112">
        <f>83/60</f>
        <v>1.3833333333333333</v>
      </c>
      <c r="E39" s="343">
        <f t="shared" ref="E39:E44" si="35">60/D39*C39/1000</f>
        <v>33.744578313253015</v>
      </c>
      <c r="F39" s="100">
        <f t="shared" ref="F39:F44" si="36">E39-$J$7</f>
        <v>33.514578313253018</v>
      </c>
      <c r="G39" s="24">
        <v>60</v>
      </c>
      <c r="H39" s="24">
        <v>335</v>
      </c>
      <c r="I39" s="72">
        <f t="shared" ref="I39:I44" si="37">60*H39/G39</f>
        <v>335</v>
      </c>
      <c r="J39" s="101">
        <f t="shared" ref="J39:J44" si="38">I39/100*A39/100*0.8</f>
        <v>0</v>
      </c>
      <c r="K39" s="340">
        <f t="shared" ref="K39:K44" si="39">J39/E39</f>
        <v>0</v>
      </c>
      <c r="L39" s="41"/>
      <c r="M39" s="341"/>
      <c r="N39" s="73"/>
      <c r="O39" s="43"/>
      <c r="P39" s="43"/>
      <c r="Q39" s="69"/>
      <c r="R39" s="70"/>
      <c r="S39" s="70"/>
    </row>
    <row r="40" spans="1:27" x14ac:dyDescent="0.25">
      <c r="A40" s="128">
        <f t="shared" si="33"/>
        <v>100</v>
      </c>
      <c r="B40" s="128">
        <f t="shared" si="34"/>
        <v>484</v>
      </c>
      <c r="C40" s="43">
        <v>813</v>
      </c>
      <c r="D40" s="112">
        <f>73/60</f>
        <v>1.2166666666666666</v>
      </c>
      <c r="E40" s="343">
        <f t="shared" si="35"/>
        <v>40.093150684931508</v>
      </c>
      <c r="F40" s="100">
        <f t="shared" si="36"/>
        <v>39.863150684931512</v>
      </c>
      <c r="G40" s="24">
        <v>60</v>
      </c>
      <c r="H40" s="24">
        <v>325</v>
      </c>
      <c r="I40" s="72">
        <f t="shared" si="37"/>
        <v>325</v>
      </c>
      <c r="J40" s="101">
        <f t="shared" si="38"/>
        <v>2.6</v>
      </c>
      <c r="K40" s="340">
        <f t="shared" si="39"/>
        <v>6.4848981823151561E-2</v>
      </c>
      <c r="L40" s="41"/>
      <c r="M40" s="341">
        <f>I40/$I$40</f>
        <v>1</v>
      </c>
      <c r="N40" s="73"/>
      <c r="O40" s="43"/>
      <c r="P40" s="43"/>
      <c r="Z40" s="40">
        <v>100</v>
      </c>
      <c r="AA40" s="40">
        <f>Z40/400*600</f>
        <v>150</v>
      </c>
    </row>
    <row r="41" spans="1:27" x14ac:dyDescent="0.25">
      <c r="A41" s="128">
        <f t="shared" si="33"/>
        <v>500</v>
      </c>
      <c r="B41" s="128">
        <f t="shared" si="34"/>
        <v>484</v>
      </c>
      <c r="C41" s="43">
        <v>1037</v>
      </c>
      <c r="D41" s="112">
        <f>75/60</f>
        <v>1.25</v>
      </c>
      <c r="E41" s="343">
        <f t="shared" si="35"/>
        <v>49.776000000000003</v>
      </c>
      <c r="F41" s="100">
        <f t="shared" si="36"/>
        <v>49.546000000000006</v>
      </c>
      <c r="G41" s="24">
        <v>60</v>
      </c>
      <c r="H41" s="24">
        <v>320</v>
      </c>
      <c r="I41" s="72">
        <f t="shared" si="37"/>
        <v>320</v>
      </c>
      <c r="J41" s="101">
        <f t="shared" si="38"/>
        <v>12.8</v>
      </c>
      <c r="K41" s="340">
        <f t="shared" si="39"/>
        <v>0.2571520411443266</v>
      </c>
      <c r="L41" s="41"/>
      <c r="M41" s="341">
        <f>I41/$I$40</f>
        <v>0.98461538461538467</v>
      </c>
      <c r="N41" s="73"/>
      <c r="O41" s="43"/>
      <c r="P41" s="43"/>
      <c r="Z41" s="40">
        <v>200</v>
      </c>
      <c r="AA41" s="40">
        <f>Z41/400*600</f>
        <v>300</v>
      </c>
    </row>
    <row r="42" spans="1:27" x14ac:dyDescent="0.25">
      <c r="A42" s="128">
        <f t="shared" si="33"/>
        <v>1000</v>
      </c>
      <c r="B42" s="128">
        <f t="shared" si="34"/>
        <v>484</v>
      </c>
      <c r="C42" s="43">
        <v>1348</v>
      </c>
      <c r="D42" s="112">
        <f>76/60</f>
        <v>1.2666666666666666</v>
      </c>
      <c r="E42" s="343">
        <f t="shared" si="35"/>
        <v>63.852631578947374</v>
      </c>
      <c r="F42" s="100">
        <f t="shared" si="36"/>
        <v>63.622631578947377</v>
      </c>
      <c r="G42" s="24">
        <v>60</v>
      </c>
      <c r="H42" s="24">
        <v>310</v>
      </c>
      <c r="I42" s="72">
        <f t="shared" si="37"/>
        <v>310</v>
      </c>
      <c r="J42" s="101">
        <f t="shared" si="38"/>
        <v>24.8</v>
      </c>
      <c r="K42" s="340">
        <f t="shared" si="39"/>
        <v>0.38839432904714799</v>
      </c>
      <c r="L42" s="41"/>
      <c r="M42" s="341">
        <f>I42/$I$40</f>
        <v>0.9538461538461539</v>
      </c>
      <c r="N42" s="73"/>
      <c r="O42" s="43"/>
      <c r="P42" s="43"/>
      <c r="Z42" s="40">
        <v>300</v>
      </c>
      <c r="AA42" s="40">
        <f>Z42/400*600</f>
        <v>450</v>
      </c>
    </row>
    <row r="43" spans="1:27" x14ac:dyDescent="0.25">
      <c r="A43" s="128">
        <f t="shared" si="33"/>
        <v>2000</v>
      </c>
      <c r="B43" s="128">
        <f t="shared" si="34"/>
        <v>484</v>
      </c>
      <c r="C43" s="43">
        <v>1669</v>
      </c>
      <c r="D43" s="112">
        <f>69/60</f>
        <v>1.1499999999999999</v>
      </c>
      <c r="E43" s="343">
        <f t="shared" si="35"/>
        <v>87.078260869565227</v>
      </c>
      <c r="F43" s="100">
        <f t="shared" si="36"/>
        <v>86.848260869565223</v>
      </c>
      <c r="G43" s="24">
        <v>60</v>
      </c>
      <c r="H43" s="24">
        <v>295</v>
      </c>
      <c r="I43" s="72">
        <f t="shared" si="37"/>
        <v>295</v>
      </c>
      <c r="J43" s="101">
        <f t="shared" si="38"/>
        <v>47.2</v>
      </c>
      <c r="K43" s="340">
        <f t="shared" si="39"/>
        <v>0.54204114240063905</v>
      </c>
      <c r="L43" s="41"/>
      <c r="M43" s="341">
        <f>I43/$I$40</f>
        <v>0.90769230769230769</v>
      </c>
      <c r="N43" s="73"/>
      <c r="O43" s="43"/>
      <c r="P43" s="43"/>
      <c r="Z43" s="40">
        <v>400</v>
      </c>
      <c r="AA43" s="40">
        <f>Z43/400*600</f>
        <v>600</v>
      </c>
    </row>
    <row r="44" spans="1:27" x14ac:dyDescent="0.25">
      <c r="A44" s="128">
        <f t="shared" si="33"/>
        <v>3000</v>
      </c>
      <c r="B44" s="128">
        <f t="shared" si="34"/>
        <v>484</v>
      </c>
      <c r="C44" s="43">
        <v>2059</v>
      </c>
      <c r="D44" s="112">
        <f>62/60</f>
        <v>1.0333333333333334</v>
      </c>
      <c r="E44" s="343">
        <f t="shared" si="35"/>
        <v>119.5548387096774</v>
      </c>
      <c r="F44" s="100">
        <f t="shared" si="36"/>
        <v>119.32483870967739</v>
      </c>
      <c r="G44" s="24">
        <v>60</v>
      </c>
      <c r="H44" s="24">
        <v>285</v>
      </c>
      <c r="I44" s="72">
        <f t="shared" si="37"/>
        <v>285</v>
      </c>
      <c r="J44" s="101">
        <f t="shared" si="38"/>
        <v>68.400000000000006</v>
      </c>
      <c r="K44" s="340">
        <f t="shared" si="39"/>
        <v>0.57212238950947081</v>
      </c>
      <c r="L44" s="41"/>
      <c r="M44" s="341">
        <f>I44/$I$40</f>
        <v>0.87692307692307692</v>
      </c>
      <c r="N44" s="73"/>
      <c r="O44" s="43"/>
      <c r="P44" s="43"/>
    </row>
    <row r="45" spans="1:27" x14ac:dyDescent="0.25">
      <c r="A45" s="74"/>
      <c r="B45" s="128"/>
      <c r="C45" s="43"/>
      <c r="D45" s="112"/>
      <c r="E45" s="343"/>
      <c r="F45" s="100"/>
      <c r="G45" s="24"/>
      <c r="H45" s="24"/>
      <c r="I45" s="72"/>
      <c r="J45" s="101"/>
      <c r="K45" s="41"/>
      <c r="L45" s="41"/>
      <c r="M45" s="341"/>
      <c r="N45" s="73"/>
      <c r="O45" s="43"/>
      <c r="P45" s="43"/>
    </row>
    <row r="46" spans="1:27" x14ac:dyDescent="0.25">
      <c r="A46" s="128">
        <f t="shared" ref="A46:A51" si="40">Q3</f>
        <v>0</v>
      </c>
      <c r="B46" s="128">
        <f t="shared" ref="B46:B51" si="41">P$8</f>
        <v>600</v>
      </c>
      <c r="C46" s="43">
        <v>821</v>
      </c>
      <c r="D46" s="112">
        <v>1.2166666666666666</v>
      </c>
      <c r="E46" s="343">
        <f t="shared" ref="E46:E51" si="42">60/D46*C46/1000</f>
        <v>40.487671232876714</v>
      </c>
      <c r="F46" s="100">
        <f t="shared" ref="F46:F51" si="43">E46-$J$7</f>
        <v>40.257671232876717</v>
      </c>
      <c r="G46" s="24">
        <v>60</v>
      </c>
      <c r="H46" s="24">
        <v>410</v>
      </c>
      <c r="I46" s="72">
        <f t="shared" ref="I46:I51" si="44">60*H46/G46</f>
        <v>410</v>
      </c>
      <c r="J46" s="101">
        <f t="shared" ref="J46:J51" si="45">I46/100*A46/100*0.8</f>
        <v>0</v>
      </c>
      <c r="K46" s="340">
        <f t="shared" ref="K46:K51" si="46">J46/E46</f>
        <v>0</v>
      </c>
      <c r="L46" s="41"/>
      <c r="M46" s="341"/>
      <c r="N46" s="73"/>
      <c r="O46" s="43"/>
      <c r="P46" s="43"/>
      <c r="Q46" s="69"/>
      <c r="R46" s="70"/>
      <c r="S46" s="70"/>
    </row>
    <row r="47" spans="1:27" x14ac:dyDescent="0.25">
      <c r="A47" s="128">
        <f t="shared" si="40"/>
        <v>100</v>
      </c>
      <c r="B47" s="128">
        <f t="shared" si="41"/>
        <v>600</v>
      </c>
      <c r="C47" s="43">
        <v>960</v>
      </c>
      <c r="D47" s="112">
        <v>1.1666666666666667</v>
      </c>
      <c r="E47" s="343">
        <f t="shared" si="42"/>
        <v>49.371428571428567</v>
      </c>
      <c r="F47" s="100">
        <f t="shared" si="43"/>
        <v>49.14142857142857</v>
      </c>
      <c r="G47" s="24">
        <v>60</v>
      </c>
      <c r="H47" s="24">
        <v>405</v>
      </c>
      <c r="I47" s="72">
        <f t="shared" si="44"/>
        <v>405</v>
      </c>
      <c r="J47" s="101">
        <f t="shared" si="45"/>
        <v>3.24</v>
      </c>
      <c r="K47" s="340">
        <f t="shared" si="46"/>
        <v>6.5625000000000017E-2</v>
      </c>
      <c r="L47" s="41"/>
      <c r="M47" s="341">
        <f>I47/$I$47</f>
        <v>1</v>
      </c>
      <c r="N47" s="73"/>
      <c r="O47" s="43"/>
      <c r="P47" s="43"/>
      <c r="R47" s="70"/>
      <c r="Z47" s="40">
        <v>100</v>
      </c>
      <c r="AA47" s="40">
        <f>Z47/400*600</f>
        <v>150</v>
      </c>
    </row>
    <row r="48" spans="1:27" x14ac:dyDescent="0.25">
      <c r="A48" s="128">
        <f t="shared" si="40"/>
        <v>500</v>
      </c>
      <c r="B48" s="128">
        <f t="shared" si="41"/>
        <v>600</v>
      </c>
      <c r="C48" s="43">
        <v>1195</v>
      </c>
      <c r="D48" s="112">
        <v>1.2166666666666666</v>
      </c>
      <c r="E48" s="343">
        <f t="shared" si="42"/>
        <v>58.931506849315078</v>
      </c>
      <c r="F48" s="100">
        <f t="shared" si="43"/>
        <v>58.701506849315081</v>
      </c>
      <c r="G48" s="24">
        <v>60</v>
      </c>
      <c r="H48" s="24">
        <v>395</v>
      </c>
      <c r="I48" s="72">
        <f t="shared" si="44"/>
        <v>395</v>
      </c>
      <c r="J48" s="101">
        <f t="shared" si="45"/>
        <v>15.8</v>
      </c>
      <c r="K48" s="340">
        <f t="shared" si="46"/>
        <v>0.26810785681078564</v>
      </c>
      <c r="L48" s="41"/>
      <c r="M48" s="341">
        <f>I48/$I$47</f>
        <v>0.97530864197530864</v>
      </c>
      <c r="N48" s="73"/>
      <c r="O48" s="43"/>
      <c r="P48" s="43"/>
      <c r="R48" s="70"/>
      <c r="Z48" s="40">
        <v>200</v>
      </c>
      <c r="AA48" s="40">
        <f>Z48/400*600</f>
        <v>300</v>
      </c>
    </row>
    <row r="49" spans="1:27" x14ac:dyDescent="0.25">
      <c r="A49" s="128">
        <f t="shared" si="40"/>
        <v>1000</v>
      </c>
      <c r="B49" s="128">
        <f t="shared" si="41"/>
        <v>600</v>
      </c>
      <c r="C49" s="43">
        <v>1778</v>
      </c>
      <c r="D49" s="112">
        <v>1.3833333333333333</v>
      </c>
      <c r="E49" s="343">
        <f t="shared" si="42"/>
        <v>77.118072289156629</v>
      </c>
      <c r="F49" s="100">
        <f t="shared" si="43"/>
        <v>76.888072289156625</v>
      </c>
      <c r="G49" s="24">
        <v>60</v>
      </c>
      <c r="H49" s="24">
        <v>390</v>
      </c>
      <c r="I49" s="72">
        <f t="shared" si="44"/>
        <v>390</v>
      </c>
      <c r="J49" s="101">
        <f t="shared" si="45"/>
        <v>31.200000000000003</v>
      </c>
      <c r="K49" s="340">
        <f t="shared" si="46"/>
        <v>0.40457442819647549</v>
      </c>
      <c r="L49" s="41"/>
      <c r="M49" s="341">
        <f>I49/$I$47</f>
        <v>0.96296296296296291</v>
      </c>
      <c r="N49" s="73"/>
      <c r="O49" s="43"/>
      <c r="P49" s="43"/>
      <c r="R49" s="70"/>
      <c r="Z49" s="40">
        <v>300</v>
      </c>
      <c r="AA49" s="40">
        <f>Z49/400*600</f>
        <v>450</v>
      </c>
    </row>
    <row r="50" spans="1:27" x14ac:dyDescent="0.25">
      <c r="A50" s="128">
        <f t="shared" si="40"/>
        <v>2000</v>
      </c>
      <c r="B50" s="128">
        <f t="shared" si="41"/>
        <v>600</v>
      </c>
      <c r="C50" s="43">
        <v>2562</v>
      </c>
      <c r="D50" s="112">
        <v>1.3833333333333333</v>
      </c>
      <c r="E50" s="343">
        <f t="shared" si="42"/>
        <v>111.12289156626505</v>
      </c>
      <c r="F50" s="100">
        <f t="shared" si="43"/>
        <v>110.89289156626505</v>
      </c>
      <c r="G50" s="24">
        <v>60</v>
      </c>
      <c r="H50" s="24">
        <v>360</v>
      </c>
      <c r="I50" s="72">
        <f t="shared" si="44"/>
        <v>360</v>
      </c>
      <c r="J50" s="101">
        <f t="shared" si="45"/>
        <v>57.6</v>
      </c>
      <c r="K50" s="340">
        <f t="shared" si="46"/>
        <v>0.51834504293520689</v>
      </c>
      <c r="L50" s="41"/>
      <c r="M50" s="341">
        <f>I50/$I$47</f>
        <v>0.88888888888888884</v>
      </c>
      <c r="N50" s="73"/>
      <c r="O50" s="43"/>
      <c r="P50" s="43"/>
      <c r="R50" s="70"/>
      <c r="Z50" s="40">
        <v>400</v>
      </c>
      <c r="AA50" s="40">
        <f>Z50/400*600</f>
        <v>600</v>
      </c>
    </row>
    <row r="51" spans="1:27" x14ac:dyDescent="0.25">
      <c r="A51" s="128">
        <f t="shared" si="40"/>
        <v>3000</v>
      </c>
      <c r="B51" s="128">
        <f t="shared" si="41"/>
        <v>600</v>
      </c>
      <c r="C51" s="43">
        <v>2402</v>
      </c>
      <c r="D51" s="112">
        <v>1</v>
      </c>
      <c r="E51" s="343">
        <f t="shared" si="42"/>
        <v>144.12</v>
      </c>
      <c r="F51" s="100">
        <f t="shared" si="43"/>
        <v>143.89000000000001</v>
      </c>
      <c r="G51" s="24">
        <v>60</v>
      </c>
      <c r="H51" s="24">
        <v>345</v>
      </c>
      <c r="I51" s="72">
        <f t="shared" si="44"/>
        <v>345</v>
      </c>
      <c r="J51" s="101">
        <f t="shared" si="45"/>
        <v>82.800000000000011</v>
      </c>
      <c r="K51" s="340">
        <f t="shared" si="46"/>
        <v>0.57452123230641139</v>
      </c>
      <c r="L51" s="41"/>
      <c r="M51" s="341">
        <f>I51/$I$47</f>
        <v>0.85185185185185186</v>
      </c>
      <c r="N51" s="73"/>
      <c r="O51" s="43"/>
      <c r="P51" s="43"/>
      <c r="R51" s="70"/>
    </row>
    <row r="52" spans="1:27" x14ac:dyDescent="0.25">
      <c r="A52" s="43"/>
      <c r="B52" s="128"/>
      <c r="C52" s="41"/>
      <c r="D52" s="41"/>
      <c r="E52" s="41"/>
      <c r="F52" s="75"/>
      <c r="G52" s="41"/>
      <c r="H52" s="43"/>
      <c r="I52" s="76"/>
      <c r="J52" s="71"/>
      <c r="K52" s="41"/>
      <c r="L52" s="41"/>
      <c r="M52" s="341"/>
      <c r="N52" s="73"/>
      <c r="O52" s="43"/>
      <c r="P52" s="43"/>
    </row>
    <row r="53" spans="1:27" x14ac:dyDescent="0.25">
      <c r="A53" s="43"/>
      <c r="B53" s="74"/>
      <c r="C53" s="41"/>
      <c r="D53" s="41"/>
      <c r="E53" s="41"/>
      <c r="F53" s="41"/>
      <c r="G53" s="41"/>
      <c r="H53" s="43"/>
      <c r="I53" s="76"/>
      <c r="J53" s="71"/>
      <c r="K53" s="41"/>
      <c r="L53" s="41"/>
      <c r="M53" s="341"/>
      <c r="N53" s="73"/>
      <c r="O53" s="43"/>
      <c r="P53" s="43"/>
    </row>
    <row r="54" spans="1:27" x14ac:dyDescent="0.25">
      <c r="A54" s="43"/>
      <c r="B54" s="128"/>
      <c r="C54" s="41"/>
      <c r="D54" s="41"/>
      <c r="E54" s="41"/>
      <c r="F54" s="41"/>
      <c r="G54" s="41"/>
      <c r="H54" s="43"/>
      <c r="I54" s="76"/>
      <c r="J54" s="71"/>
      <c r="K54" s="41"/>
      <c r="L54" s="41"/>
      <c r="M54" s="341"/>
      <c r="N54" s="73"/>
      <c r="O54" s="43"/>
      <c r="P54" s="43"/>
    </row>
    <row r="55" spans="1:27" x14ac:dyDescent="0.25">
      <c r="A55" s="47"/>
      <c r="B55" s="128"/>
      <c r="C55" s="41"/>
      <c r="D55" s="41"/>
      <c r="E55" s="41"/>
      <c r="F55" s="41"/>
      <c r="G55" s="41"/>
      <c r="H55" s="43"/>
      <c r="I55" s="76"/>
      <c r="J55" s="71"/>
      <c r="K55" s="41"/>
      <c r="L55" s="41"/>
      <c r="M55" s="341"/>
      <c r="N55" s="73"/>
      <c r="O55" s="43"/>
      <c r="P55" s="43"/>
    </row>
    <row r="56" spans="1:27" x14ac:dyDescent="0.25">
      <c r="A56" s="71"/>
      <c r="B56" s="74"/>
      <c r="C56" s="41"/>
      <c r="D56" s="41"/>
      <c r="E56" s="41"/>
      <c r="F56" s="41"/>
      <c r="G56" s="41"/>
      <c r="H56" s="43"/>
      <c r="I56" s="76"/>
      <c r="J56" s="71"/>
      <c r="K56" s="41"/>
      <c r="L56" s="41"/>
      <c r="M56" s="341"/>
      <c r="N56" s="73"/>
      <c r="O56" s="43"/>
      <c r="P56" s="43"/>
    </row>
    <row r="57" spans="1:27" x14ac:dyDescent="0.25">
      <c r="A57" s="47"/>
      <c r="B57" s="128"/>
      <c r="C57" s="41"/>
      <c r="D57" s="41"/>
      <c r="E57" s="41"/>
      <c r="F57" s="41"/>
      <c r="G57" s="41"/>
      <c r="H57" s="43"/>
      <c r="I57" s="43"/>
      <c r="J57" s="47"/>
      <c r="K57" s="41"/>
      <c r="L57" s="41"/>
      <c r="M57" s="341"/>
      <c r="N57" s="73"/>
      <c r="O57" s="43"/>
      <c r="P57" s="43"/>
    </row>
    <row r="58" spans="1:27" x14ac:dyDescent="0.25">
      <c r="A58" s="47"/>
      <c r="B58" s="128"/>
      <c r="C58" s="41"/>
      <c r="D58" s="41"/>
      <c r="E58" s="41"/>
      <c r="F58" s="41"/>
      <c r="G58" s="340"/>
      <c r="H58" s="43"/>
      <c r="I58" s="43"/>
      <c r="J58" s="47"/>
      <c r="K58" s="41"/>
      <c r="L58" s="41"/>
      <c r="M58" s="341"/>
      <c r="N58" s="73"/>
      <c r="O58" s="43"/>
      <c r="P58" s="43"/>
    </row>
    <row r="59" spans="1:27" x14ac:dyDescent="0.25">
      <c r="A59" s="47"/>
      <c r="B59" s="128"/>
      <c r="C59" s="41"/>
      <c r="D59" s="41"/>
      <c r="E59" s="41"/>
      <c r="F59" s="41"/>
      <c r="G59" s="41"/>
      <c r="H59" s="43"/>
      <c r="I59" s="43"/>
      <c r="J59" s="47"/>
      <c r="K59" s="41"/>
      <c r="L59" s="41"/>
      <c r="M59" s="341"/>
      <c r="N59" s="73"/>
      <c r="O59" s="43"/>
      <c r="P59" s="43"/>
    </row>
    <row r="60" spans="1:27" x14ac:dyDescent="0.25">
      <c r="A60" s="47"/>
      <c r="B60" s="128"/>
      <c r="C60" s="41"/>
      <c r="D60" s="41"/>
      <c r="E60" s="41"/>
      <c r="F60" s="41"/>
      <c r="G60" s="41"/>
      <c r="H60" s="43"/>
      <c r="I60" s="43"/>
      <c r="J60" s="47"/>
      <c r="K60" s="41"/>
      <c r="L60" s="41"/>
      <c r="M60" s="341"/>
      <c r="N60" s="73"/>
      <c r="O60" s="43"/>
      <c r="P60" s="43"/>
    </row>
    <row r="61" spans="1:27" x14ac:dyDescent="0.25">
      <c r="A61" s="47"/>
      <c r="B61" s="128"/>
      <c r="C61" s="41"/>
      <c r="D61" s="41"/>
      <c r="E61" s="41"/>
      <c r="F61" s="41"/>
      <c r="G61" s="41"/>
      <c r="H61" s="43"/>
      <c r="I61" s="43"/>
      <c r="J61" s="47"/>
      <c r="K61" s="41"/>
      <c r="L61" s="41"/>
      <c r="M61" s="341"/>
      <c r="N61" s="73"/>
      <c r="O61" s="43"/>
      <c r="P61" s="43"/>
    </row>
    <row r="63" spans="1:27" x14ac:dyDescent="0.25">
      <c r="L63" s="80" t="s">
        <v>18</v>
      </c>
      <c r="M63" s="332"/>
      <c r="N63" s="335" t="s">
        <v>345</v>
      </c>
    </row>
    <row r="64" spans="1:27" x14ac:dyDescent="0.25">
      <c r="K64" s="79" t="s">
        <v>205</v>
      </c>
      <c r="L64" s="81">
        <f>B11</f>
        <v>20</v>
      </c>
      <c r="M64" s="80">
        <f>B18</f>
        <v>136</v>
      </c>
      <c r="N64" s="80">
        <f>B25</f>
        <v>252</v>
      </c>
      <c r="O64" s="80">
        <f>B32</f>
        <v>368</v>
      </c>
      <c r="P64" s="80">
        <f>B39</f>
        <v>484</v>
      </c>
      <c r="Q64" s="80">
        <f>B46</f>
        <v>600</v>
      </c>
    </row>
    <row r="65" spans="1:18" x14ac:dyDescent="0.25">
      <c r="K65" s="82">
        <f t="shared" ref="K65:K70" si="47">Q3</f>
        <v>0</v>
      </c>
      <c r="L65" s="344">
        <f t="shared" ref="L65:L70" si="48">I11</f>
        <v>14</v>
      </c>
      <c r="M65" s="93">
        <f t="shared" ref="M65:M70" si="49">I18</f>
        <v>95</v>
      </c>
      <c r="N65" s="93">
        <f t="shared" ref="N65:N70" si="50">I25</f>
        <v>175</v>
      </c>
      <c r="O65" s="93">
        <f t="shared" ref="O65:O70" si="51">I32</f>
        <v>250</v>
      </c>
      <c r="P65" s="93">
        <f t="shared" ref="P65:P70" si="52">I39</f>
        <v>335</v>
      </c>
      <c r="Q65" s="93">
        <f t="shared" ref="Q65:Q70" si="53">I46</f>
        <v>410</v>
      </c>
    </row>
    <row r="66" spans="1:18" x14ac:dyDescent="0.25">
      <c r="K66" s="82">
        <f t="shared" si="47"/>
        <v>100</v>
      </c>
      <c r="L66" s="344">
        <f t="shared" si="48"/>
        <v>13</v>
      </c>
      <c r="M66" s="93">
        <f t="shared" si="49"/>
        <v>90</v>
      </c>
      <c r="N66" s="93">
        <f t="shared" si="50"/>
        <v>170</v>
      </c>
      <c r="O66" s="93">
        <f t="shared" si="51"/>
        <v>245</v>
      </c>
      <c r="P66" s="93">
        <f t="shared" si="52"/>
        <v>325</v>
      </c>
      <c r="Q66" s="93">
        <f t="shared" si="53"/>
        <v>405</v>
      </c>
    </row>
    <row r="67" spans="1:18" x14ac:dyDescent="0.25">
      <c r="K67" s="82">
        <f t="shared" si="47"/>
        <v>500</v>
      </c>
      <c r="L67" s="344">
        <f t="shared" si="48"/>
        <v>13</v>
      </c>
      <c r="M67" s="93">
        <f t="shared" si="49"/>
        <v>90</v>
      </c>
      <c r="N67" s="93">
        <f t="shared" si="50"/>
        <v>165</v>
      </c>
      <c r="O67" s="93">
        <f t="shared" si="51"/>
        <v>240</v>
      </c>
      <c r="P67" s="93">
        <f t="shared" si="52"/>
        <v>320</v>
      </c>
      <c r="Q67" s="93">
        <f t="shared" si="53"/>
        <v>395</v>
      </c>
    </row>
    <row r="68" spans="1:18" x14ac:dyDescent="0.25">
      <c r="K68" s="82">
        <f t="shared" si="47"/>
        <v>1000</v>
      </c>
      <c r="L68" s="344">
        <f t="shared" si="48"/>
        <v>13</v>
      </c>
      <c r="M68" s="93">
        <f t="shared" si="49"/>
        <v>90</v>
      </c>
      <c r="N68" s="93">
        <f t="shared" si="50"/>
        <v>160</v>
      </c>
      <c r="O68" s="93">
        <f t="shared" si="51"/>
        <v>235</v>
      </c>
      <c r="P68" s="93">
        <f t="shared" si="52"/>
        <v>310</v>
      </c>
      <c r="Q68" s="93">
        <f t="shared" si="53"/>
        <v>390</v>
      </c>
    </row>
    <row r="69" spans="1:18" x14ac:dyDescent="0.25">
      <c r="K69" s="82">
        <f t="shared" si="47"/>
        <v>2000</v>
      </c>
      <c r="L69" s="344">
        <f t="shared" si="48"/>
        <v>12</v>
      </c>
      <c r="M69" s="93">
        <f t="shared" si="49"/>
        <v>85</v>
      </c>
      <c r="N69" s="93">
        <f t="shared" si="50"/>
        <v>155</v>
      </c>
      <c r="O69" s="93">
        <f t="shared" si="51"/>
        <v>225</v>
      </c>
      <c r="P69" s="93">
        <f t="shared" si="52"/>
        <v>295</v>
      </c>
      <c r="Q69" s="93">
        <f t="shared" si="53"/>
        <v>360</v>
      </c>
    </row>
    <row r="70" spans="1:18" x14ac:dyDescent="0.25">
      <c r="K70" s="82">
        <f t="shared" si="47"/>
        <v>3000</v>
      </c>
      <c r="L70" s="344">
        <f t="shared" si="48"/>
        <v>11</v>
      </c>
      <c r="M70" s="93">
        <f t="shared" si="49"/>
        <v>80</v>
      </c>
      <c r="N70" s="93">
        <f t="shared" si="50"/>
        <v>150</v>
      </c>
      <c r="O70" s="93">
        <f t="shared" si="51"/>
        <v>215</v>
      </c>
      <c r="P70" s="93">
        <f t="shared" si="52"/>
        <v>285</v>
      </c>
      <c r="Q70" s="93">
        <f t="shared" si="53"/>
        <v>345</v>
      </c>
    </row>
    <row r="71" spans="1:18" x14ac:dyDescent="0.25">
      <c r="K71" s="83"/>
      <c r="M71" s="332"/>
    </row>
    <row r="72" spans="1:18" x14ac:dyDescent="0.25">
      <c r="K72" s="335">
        <f>B80</f>
        <v>40</v>
      </c>
      <c r="L72" s="40">
        <f t="shared" ref="L72:Q72" si="54">_xlfn.FORECAST.LINEAR($B$80,L65:L70,$K$65:$K$70)</f>
        <v>13.544952380952379</v>
      </c>
      <c r="M72" s="40">
        <f t="shared" si="54"/>
        <v>92.724761904761905</v>
      </c>
      <c r="N72" s="40">
        <f t="shared" si="54"/>
        <v>170.52571428571429</v>
      </c>
      <c r="O72" s="40">
        <f t="shared" si="54"/>
        <v>246.58428571428573</v>
      </c>
      <c r="P72" s="40">
        <f t="shared" si="54"/>
        <v>328.24809523809523</v>
      </c>
      <c r="Q72" s="40">
        <f t="shared" si="54"/>
        <v>407.25952380952384</v>
      </c>
      <c r="R72" s="335" t="s">
        <v>28</v>
      </c>
    </row>
    <row r="73" spans="1:18" x14ac:dyDescent="0.25">
      <c r="J73" s="335" t="s">
        <v>28</v>
      </c>
      <c r="K73" s="94">
        <f>B79</f>
        <v>100</v>
      </c>
      <c r="L73" s="95">
        <f>_xlfn.FORECAST.LINEAR(K73,L64:Q64,L72:Q72)</f>
        <v>147.95700447811404</v>
      </c>
      <c r="M73" s="332" t="s">
        <v>18</v>
      </c>
    </row>
    <row r="77" spans="1:18" x14ac:dyDescent="0.25">
      <c r="A77" s="49" t="s">
        <v>346</v>
      </c>
      <c r="B77" s="78">
        <v>1230</v>
      </c>
      <c r="C77" s="40" t="s">
        <v>28</v>
      </c>
      <c r="M77" s="332"/>
    </row>
    <row r="78" spans="1:18" x14ac:dyDescent="0.25">
      <c r="B78" s="77">
        <v>600</v>
      </c>
      <c r="C78" s="40" t="s">
        <v>18</v>
      </c>
      <c r="M78" s="332"/>
    </row>
    <row r="79" spans="1:18" x14ac:dyDescent="0.25">
      <c r="A79" s="40" t="s">
        <v>349</v>
      </c>
      <c r="B79" s="78">
        <f>Q</f>
        <v>100</v>
      </c>
      <c r="C79" s="40" t="s">
        <v>28</v>
      </c>
      <c r="M79" s="332"/>
    </row>
    <row r="80" spans="1:18" x14ac:dyDescent="0.25">
      <c r="A80" s="40" t="s">
        <v>350</v>
      </c>
      <c r="B80" s="78">
        <f>Pavg</f>
        <v>40</v>
      </c>
      <c r="C80" s="40">
        <v>1000</v>
      </c>
      <c r="D80" s="40" t="s">
        <v>351</v>
      </c>
      <c r="M80" s="332"/>
    </row>
    <row r="81" spans="1:10" x14ac:dyDescent="0.25">
      <c r="A81" s="40" t="s">
        <v>352</v>
      </c>
      <c r="B81" s="77">
        <v>0</v>
      </c>
      <c r="C81" s="40" t="s">
        <v>353</v>
      </c>
      <c r="E81" s="40" t="s">
        <v>354</v>
      </c>
    </row>
    <row r="82" spans="1:10" x14ac:dyDescent="0.25">
      <c r="A82" s="40" t="s">
        <v>355</v>
      </c>
      <c r="B82" s="77">
        <f>L73</f>
        <v>147.95700447811404</v>
      </c>
    </row>
    <row r="83" spans="1:10" x14ac:dyDescent="0.25">
      <c r="A83" s="40" t="s">
        <v>356</v>
      </c>
      <c r="B83" s="77">
        <f>(1+(B80/C80*B81))*B82</f>
        <v>147.95700447811404</v>
      </c>
    </row>
    <row r="84" spans="1:10" x14ac:dyDescent="0.25">
      <c r="A84" s="40" t="s">
        <v>357</v>
      </c>
    </row>
    <row r="85" spans="1:10" x14ac:dyDescent="0.25">
      <c r="A85" s="79" t="s">
        <v>205</v>
      </c>
      <c r="E85" s="335" t="s">
        <v>358</v>
      </c>
      <c r="H85" s="40" t="s">
        <v>359</v>
      </c>
    </row>
    <row r="86" spans="1:10" x14ac:dyDescent="0.25">
      <c r="A86" s="80" t="s">
        <v>18</v>
      </c>
      <c r="B86" s="77">
        <v>0.1</v>
      </c>
      <c r="C86" s="81">
        <f>B11</f>
        <v>20</v>
      </c>
      <c r="D86" s="80">
        <f>B18</f>
        <v>136</v>
      </c>
      <c r="E86" s="80">
        <f>B25</f>
        <v>252</v>
      </c>
      <c r="F86" s="80">
        <f>B32</f>
        <v>368</v>
      </c>
      <c r="G86" s="80">
        <f>B39</f>
        <v>484</v>
      </c>
      <c r="H86" s="80">
        <f>B46</f>
        <v>600</v>
      </c>
      <c r="I86" s="40">
        <f>H86*10</f>
        <v>6000</v>
      </c>
    </row>
    <row r="87" spans="1:10" x14ac:dyDescent="0.25">
      <c r="A87" s="82">
        <f>Q3</f>
        <v>0</v>
      </c>
      <c r="B87" s="77">
        <f t="shared" ref="B87:B92" si="55">$J$7</f>
        <v>0.22999999999999998</v>
      </c>
      <c r="C87" s="41">
        <f>F11</f>
        <v>3.67</v>
      </c>
      <c r="D87" s="43">
        <f>F18</f>
        <v>11.35</v>
      </c>
      <c r="E87" s="43">
        <f t="shared" ref="E87:E92" si="56">F25</f>
        <v>19.09</v>
      </c>
      <c r="F87" s="43">
        <f t="shared" ref="F87:F92" si="57">F32</f>
        <v>25.87</v>
      </c>
      <c r="G87" s="43">
        <f t="shared" ref="G87:G92" si="58">F39</f>
        <v>33.514578313253018</v>
      </c>
      <c r="H87" s="43">
        <f t="shared" ref="H87:H92" si="59">F46</f>
        <v>40.257671232876717</v>
      </c>
      <c r="I87" s="40">
        <f t="shared" ref="I87:I92" si="60">H87*10</f>
        <v>402.57671232876714</v>
      </c>
      <c r="J87" s="40">
        <f t="shared" ref="J87:J92" ca="1" si="61">_xlfn.FORECAST.LINEAR(__RPM1,OFFSET(B87:H87,0,MATCH(__RPM1,$B$86:$H$86,1)-1,1,2),OFFSET($B$86:$H$86,0,MATCH(__RPM1,$B$86:$H$86,1)-1,1,2))</f>
        <v>12.147820816039678</v>
      </c>
    </row>
    <row r="88" spans="1:10" x14ac:dyDescent="0.25">
      <c r="A88" s="82">
        <f>Q4</f>
        <v>100</v>
      </c>
      <c r="B88" s="77">
        <f t="shared" si="55"/>
        <v>0.22999999999999998</v>
      </c>
      <c r="C88" s="41">
        <f>E12</f>
        <v>4.5599999999999996</v>
      </c>
      <c r="D88" s="43">
        <f>E19</f>
        <v>13.8</v>
      </c>
      <c r="E88" s="43">
        <f t="shared" si="56"/>
        <v>22.45</v>
      </c>
      <c r="F88" s="43">
        <f t="shared" si="57"/>
        <v>31.240967741935478</v>
      </c>
      <c r="G88" s="43">
        <f t="shared" si="58"/>
        <v>39.863150684931512</v>
      </c>
      <c r="H88" s="43">
        <f t="shared" si="59"/>
        <v>49.14142857142857</v>
      </c>
      <c r="I88" s="40">
        <f t="shared" si="60"/>
        <v>491.41428571428571</v>
      </c>
      <c r="J88" s="40">
        <f t="shared" ca="1" si="61"/>
        <v>14.691621454617987</v>
      </c>
    </row>
    <row r="89" spans="1:10" x14ac:dyDescent="0.25">
      <c r="A89" s="82">
        <f>Q5</f>
        <v>500</v>
      </c>
      <c r="B89" s="77">
        <f t="shared" si="55"/>
        <v>0.22999999999999998</v>
      </c>
      <c r="C89" s="41">
        <f>E13</f>
        <v>5.7</v>
      </c>
      <c r="D89" s="43">
        <f>E20</f>
        <v>16.920000000000002</v>
      </c>
      <c r="E89" s="43">
        <f t="shared" si="56"/>
        <v>27.49</v>
      </c>
      <c r="F89" s="43">
        <f t="shared" si="57"/>
        <v>37.82</v>
      </c>
      <c r="G89" s="43">
        <f t="shared" si="58"/>
        <v>49.546000000000006</v>
      </c>
      <c r="H89" s="43">
        <f t="shared" si="59"/>
        <v>58.701506849315081</v>
      </c>
      <c r="I89" s="40">
        <f t="shared" si="60"/>
        <v>587.01506849315081</v>
      </c>
      <c r="J89" s="40">
        <f t="shared" ca="1" si="61"/>
        <v>18.009530494255735</v>
      </c>
    </row>
    <row r="90" spans="1:10" x14ac:dyDescent="0.25">
      <c r="A90" s="82">
        <f>Q6</f>
        <v>1000</v>
      </c>
      <c r="B90" s="77">
        <f t="shared" si="55"/>
        <v>0.22999999999999998</v>
      </c>
      <c r="C90" s="41">
        <f>E14</f>
        <v>7.86</v>
      </c>
      <c r="D90" s="43">
        <f>E21</f>
        <v>22.32</v>
      </c>
      <c r="E90" s="43">
        <f t="shared" si="56"/>
        <v>35.35</v>
      </c>
      <c r="F90" s="43">
        <f t="shared" si="57"/>
        <v>48.550000000000004</v>
      </c>
      <c r="G90" s="43">
        <f t="shared" si="58"/>
        <v>63.622631578947377</v>
      </c>
      <c r="H90" s="43">
        <f t="shared" si="59"/>
        <v>76.888072289156625</v>
      </c>
      <c r="I90" s="40">
        <f t="shared" si="60"/>
        <v>768.88072289156628</v>
      </c>
      <c r="J90" s="40">
        <f t="shared" ca="1" si="61"/>
        <v>23.663101451291602</v>
      </c>
    </row>
    <row r="91" spans="1:10" x14ac:dyDescent="0.25">
      <c r="A91" s="82">
        <f>Q7</f>
        <v>2000</v>
      </c>
      <c r="B91" s="77">
        <f t="shared" si="55"/>
        <v>0.22999999999999998</v>
      </c>
      <c r="C91" s="41">
        <f>E15</f>
        <v>12.42</v>
      </c>
      <c r="D91" s="43">
        <f>E22</f>
        <v>38.22</v>
      </c>
      <c r="E91" s="43">
        <f t="shared" si="56"/>
        <v>52.690000000000005</v>
      </c>
      <c r="F91" s="43">
        <f t="shared" si="57"/>
        <v>71.709999999999994</v>
      </c>
      <c r="G91" s="43">
        <f t="shared" si="58"/>
        <v>86.848260869565223</v>
      </c>
      <c r="H91" s="43">
        <f t="shared" si="59"/>
        <v>110.89289156626505</v>
      </c>
      <c r="I91" s="40">
        <f t="shared" si="60"/>
        <v>1108.9289156626505</v>
      </c>
      <c r="J91" s="40">
        <f t="shared" ca="1" si="61"/>
        <v>39.711533231019914</v>
      </c>
    </row>
    <row r="92" spans="1:10" x14ac:dyDescent="0.25">
      <c r="A92" s="82">
        <f>Q8+0.1</f>
        <v>3000.1</v>
      </c>
      <c r="B92" s="77">
        <f t="shared" si="55"/>
        <v>0.22999999999999998</v>
      </c>
      <c r="C92" s="41">
        <f>E16</f>
        <v>18.420000000000002</v>
      </c>
      <c r="D92" s="43">
        <f>E23</f>
        <v>52.02</v>
      </c>
      <c r="E92" s="43">
        <f t="shared" si="56"/>
        <v>73.569999999999993</v>
      </c>
      <c r="F92" s="43">
        <f t="shared" si="57"/>
        <v>96.07</v>
      </c>
      <c r="G92" s="43">
        <f t="shared" si="58"/>
        <v>119.32483870967739</v>
      </c>
      <c r="H92" s="43">
        <f t="shared" si="59"/>
        <v>143.89000000000001</v>
      </c>
      <c r="I92" s="40">
        <f t="shared" si="60"/>
        <v>1438.9</v>
      </c>
      <c r="J92" s="40">
        <f t="shared" ca="1" si="61"/>
        <v>54.241322814684125</v>
      </c>
    </row>
    <row r="95" spans="1:10" x14ac:dyDescent="0.25">
      <c r="A95" s="40" t="s">
        <v>360</v>
      </c>
      <c r="B95" s="84">
        <f>B83</f>
        <v>147.95700447811404</v>
      </c>
      <c r="C95" s="40" t="s">
        <v>18</v>
      </c>
    </row>
    <row r="96" spans="1:10" x14ac:dyDescent="0.25">
      <c r="A96" s="40" t="s">
        <v>361</v>
      </c>
      <c r="B96" s="84">
        <f>B80</f>
        <v>40</v>
      </c>
      <c r="C96" s="40" t="s">
        <v>97</v>
      </c>
    </row>
    <row r="97" spans="1:3" x14ac:dyDescent="0.25">
      <c r="A97" s="40" t="s">
        <v>362</v>
      </c>
      <c r="B97" s="85">
        <f ca="1">_xlfn.FORECAST.LINEAR(Press1,OFFSET(J87:J92,MATCH(Press1,A87:A92,1)-1,0,2),OFFSET(A87:A92,MATCH(Press1,A87:A92,1)-1,0,2))</f>
        <v>13.165341071471</v>
      </c>
      <c r="C97" s="40" t="s">
        <v>19</v>
      </c>
    </row>
  </sheetData>
  <mergeCells count="3">
    <mergeCell ref="C9:E9"/>
    <mergeCell ref="F9:H9"/>
    <mergeCell ref="L9:N9"/>
  </mergeCells>
  <pageMargins left="0.70866141732283472" right="0.70866141732283472" top="0.74803149606299213" bottom="0.74803149606299213" header="0.31496062992125984" footer="0.31496062992125984"/>
  <pageSetup scale="63" orientation="landscape" r:id="rId1"/>
  <rowBreaks count="1" manualBreakCount="1">
    <brk id="54" max="1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085B9-FDF0-445D-A0FA-7B6F509BBE77}">
  <sheetPr codeName="Sheet9">
    <tabColor rgb="FF5B9BD5"/>
  </sheetPr>
  <dimension ref="A1:AA97"/>
  <sheetViews>
    <sheetView topLeftCell="A21" workbookViewId="0">
      <selection activeCell="H3" sqref="H3:N7"/>
    </sheetView>
  </sheetViews>
  <sheetFormatPr defaultColWidth="9.140625" defaultRowHeight="15" x14ac:dyDescent="0.25"/>
  <cols>
    <col min="1" max="1" width="14.7109375" style="123" customWidth="1"/>
    <col min="2" max="2" width="11.28515625" style="124" customWidth="1"/>
    <col min="3" max="3" width="12.42578125" style="123" customWidth="1"/>
    <col min="4" max="4" width="19.140625" style="123" customWidth="1"/>
    <col min="5" max="5" width="13.7109375" style="123" customWidth="1"/>
    <col min="6" max="6" width="14.85546875" style="123" customWidth="1"/>
    <col min="7" max="7" width="13.140625" style="123" customWidth="1"/>
    <col min="8" max="8" width="9.140625" style="123" bestFit="1"/>
    <col min="9" max="9" width="12.140625" style="123" customWidth="1"/>
    <col min="10" max="10" width="10.5703125" style="123" customWidth="1"/>
    <col min="11" max="11" width="12" style="123" customWidth="1"/>
    <col min="12" max="12" width="9.140625" style="123" customWidth="1"/>
    <col min="13" max="13" width="9.140625" style="125"/>
    <col min="14" max="16384" width="9.140625" style="123"/>
  </cols>
  <sheetData>
    <row r="1" spans="1:27" x14ac:dyDescent="0.25">
      <c r="A1" s="335"/>
      <c r="B1" s="348" t="s">
        <v>305</v>
      </c>
      <c r="C1" s="349">
        <v>44319</v>
      </c>
      <c r="D1" s="331" t="s">
        <v>367</v>
      </c>
      <c r="E1" s="331"/>
      <c r="F1" s="331"/>
      <c r="G1" s="335"/>
      <c r="H1" s="335"/>
      <c r="I1" s="335"/>
      <c r="J1" s="335"/>
      <c r="K1" s="335"/>
      <c r="L1" s="335"/>
      <c r="M1" s="332"/>
      <c r="N1" s="335"/>
      <c r="O1" s="335"/>
      <c r="P1" s="335"/>
      <c r="Q1" s="335"/>
      <c r="R1" s="335"/>
      <c r="S1" s="335"/>
      <c r="T1" s="335"/>
      <c r="U1" s="335"/>
      <c r="V1" s="335"/>
      <c r="W1" s="335"/>
      <c r="X1" s="335"/>
      <c r="Y1" s="335"/>
      <c r="Z1" s="335"/>
      <c r="AA1" s="335"/>
    </row>
    <row r="2" spans="1:27" ht="21" x14ac:dyDescent="0.35">
      <c r="A2" s="45" t="s">
        <v>373</v>
      </c>
      <c r="B2" s="46"/>
      <c r="C2" s="45"/>
      <c r="D2" s="45"/>
      <c r="E2" s="45"/>
      <c r="F2" s="45"/>
      <c r="G2" s="45"/>
      <c r="H2" s="45"/>
      <c r="I2" s="45"/>
      <c r="J2" s="45"/>
      <c r="K2" s="45"/>
      <c r="L2" s="45"/>
      <c r="M2" s="335"/>
      <c r="N2" s="335"/>
      <c r="O2" s="335"/>
      <c r="P2" s="47" t="s">
        <v>309</v>
      </c>
      <c r="Q2" s="49" t="s">
        <v>310</v>
      </c>
      <c r="R2" s="335"/>
      <c r="S2" s="335"/>
      <c r="T2" s="335"/>
      <c r="U2" s="335"/>
      <c r="V2" s="335"/>
      <c r="W2" s="335"/>
      <c r="X2" s="335"/>
      <c r="Y2" s="335"/>
      <c r="Z2" s="335"/>
      <c r="AA2" s="335"/>
    </row>
    <row r="3" spans="1:27" x14ac:dyDescent="0.25">
      <c r="A3" s="47" t="s">
        <v>311</v>
      </c>
      <c r="B3" s="128"/>
      <c r="C3" s="47" t="s">
        <v>312</v>
      </c>
      <c r="D3" s="47"/>
      <c r="E3" s="47"/>
      <c r="F3" s="47"/>
      <c r="G3" s="350"/>
      <c r="H3" s="43"/>
      <c r="I3" s="49"/>
      <c r="J3" s="40"/>
      <c r="K3" s="49"/>
      <c r="L3" s="49"/>
      <c r="M3" s="40"/>
      <c r="N3" s="40"/>
      <c r="O3" s="335"/>
      <c r="P3" s="47">
        <v>20</v>
      </c>
      <c r="Q3" s="49">
        <v>0</v>
      </c>
      <c r="R3" s="335"/>
      <c r="S3" s="335"/>
      <c r="T3" s="335"/>
      <c r="U3" s="335"/>
      <c r="V3" s="335"/>
      <c r="W3" s="335"/>
      <c r="X3" s="335"/>
      <c r="Y3" s="335"/>
      <c r="Z3" s="335"/>
      <c r="AA3" s="335"/>
    </row>
    <row r="4" spans="1:27" x14ac:dyDescent="0.25">
      <c r="A4" s="128" t="s">
        <v>313</v>
      </c>
      <c r="B4" s="128"/>
      <c r="C4" s="128">
        <v>0.3125</v>
      </c>
      <c r="D4" s="128"/>
      <c r="E4" s="128"/>
      <c r="F4" s="128"/>
      <c r="G4" s="51" t="s">
        <v>314</v>
      </c>
      <c r="H4" s="333" t="s">
        <v>315</v>
      </c>
      <c r="I4" s="182"/>
      <c r="J4" s="183" t="s">
        <v>19</v>
      </c>
      <c r="K4" s="184"/>
      <c r="L4" s="183"/>
      <c r="M4" s="334"/>
      <c r="N4" s="182"/>
      <c r="O4" s="47"/>
      <c r="P4" s="47">
        <f>(P$8-P$3)/5+P3</f>
        <v>136</v>
      </c>
      <c r="Q4" s="49">
        <v>500</v>
      </c>
      <c r="R4" s="335"/>
      <c r="S4" s="335"/>
      <c r="T4" s="335"/>
      <c r="U4" s="335"/>
      <c r="V4" s="335"/>
      <c r="W4" s="335"/>
      <c r="X4" s="335"/>
      <c r="Y4" s="335"/>
      <c r="Z4" s="335"/>
      <c r="AA4" s="335"/>
    </row>
    <row r="5" spans="1:27" x14ac:dyDescent="0.25">
      <c r="A5" s="128" t="s">
        <v>317</v>
      </c>
      <c r="B5" s="128"/>
      <c r="C5" s="128" t="s">
        <v>374</v>
      </c>
      <c r="D5" s="128"/>
      <c r="E5" s="128"/>
      <c r="F5" s="128"/>
      <c r="G5" s="52" t="s">
        <v>318</v>
      </c>
      <c r="H5" s="185">
        <v>73.5</v>
      </c>
      <c r="I5" s="184"/>
      <c r="J5" s="182">
        <f>H5/1000*25</f>
        <v>1.8374999999999999</v>
      </c>
      <c r="K5" s="186" t="s">
        <v>319</v>
      </c>
      <c r="L5" s="182"/>
      <c r="M5" s="334"/>
      <c r="N5" s="182"/>
      <c r="O5" s="47"/>
      <c r="P5" s="47">
        <f>(P$8-P$3)/5+P4</f>
        <v>252</v>
      </c>
      <c r="Q5" s="49">
        <v>1000</v>
      </c>
      <c r="R5" s="335"/>
      <c r="S5" s="335"/>
      <c r="T5" s="335"/>
      <c r="U5" s="335"/>
      <c r="V5" s="335"/>
      <c r="W5" s="335"/>
      <c r="X5" s="335"/>
      <c r="Y5" s="335"/>
      <c r="Z5" s="335"/>
      <c r="AA5" s="335"/>
    </row>
    <row r="6" spans="1:27" x14ac:dyDescent="0.25">
      <c r="A6" s="128" t="s">
        <v>320</v>
      </c>
      <c r="B6" s="128"/>
      <c r="C6" s="128">
        <f>0.15-0.014</f>
        <v>0.13599999999999998</v>
      </c>
      <c r="D6" s="128"/>
      <c r="E6" s="128"/>
      <c r="F6" s="128"/>
      <c r="G6" s="51" t="s">
        <v>321</v>
      </c>
      <c r="H6" s="185">
        <v>64.3</v>
      </c>
      <c r="I6" s="184"/>
      <c r="J6" s="182">
        <f>H6/1000*25</f>
        <v>1.6074999999999999</v>
      </c>
      <c r="K6" s="186" t="s">
        <v>319</v>
      </c>
      <c r="L6" s="182"/>
      <c r="M6" s="334"/>
      <c r="N6" s="182"/>
      <c r="O6" s="47"/>
      <c r="P6" s="47">
        <f>(P$8-P$3)/5+P5</f>
        <v>368</v>
      </c>
      <c r="Q6" s="49">
        <v>3000</v>
      </c>
      <c r="R6" s="335"/>
      <c r="S6" s="335"/>
      <c r="T6" s="335"/>
      <c r="U6" s="335"/>
      <c r="V6" s="335"/>
      <c r="W6" s="335"/>
      <c r="X6" s="335"/>
      <c r="Y6" s="335"/>
      <c r="Z6" s="335"/>
      <c r="AA6" s="335"/>
    </row>
    <row r="7" spans="1:27" x14ac:dyDescent="0.25">
      <c r="A7" s="53" t="s">
        <v>322</v>
      </c>
      <c r="B7" s="128"/>
      <c r="C7" s="128" t="s">
        <v>375</v>
      </c>
      <c r="D7" s="128"/>
      <c r="E7" s="128"/>
      <c r="F7" s="128"/>
      <c r="G7" s="335"/>
      <c r="H7" s="182"/>
      <c r="I7" s="182" t="s">
        <v>324</v>
      </c>
      <c r="J7" s="183">
        <f>J5-J6</f>
        <v>0.22999999999999998</v>
      </c>
      <c r="K7" s="183" t="s">
        <v>19</v>
      </c>
      <c r="L7" s="186" t="s">
        <v>325</v>
      </c>
      <c r="M7" s="334"/>
      <c r="N7" s="182"/>
      <c r="O7" s="47"/>
      <c r="P7" s="47">
        <f>(P$8-P$3)/5+P6</f>
        <v>484</v>
      </c>
      <c r="Q7" s="49">
        <v>4000</v>
      </c>
      <c r="R7" s="335"/>
      <c r="S7" s="335"/>
      <c r="T7" s="335"/>
      <c r="U7" s="335"/>
      <c r="V7" s="335"/>
      <c r="W7" s="335"/>
      <c r="X7" s="335"/>
      <c r="Y7" s="335"/>
      <c r="Z7" s="335"/>
      <c r="AA7" s="335"/>
    </row>
    <row r="8" spans="1:27" ht="15.75" thickBot="1" x14ac:dyDescent="0.3">
      <c r="A8" s="53" t="s">
        <v>326</v>
      </c>
      <c r="B8" s="53"/>
      <c r="C8" s="53" t="s">
        <v>376</v>
      </c>
      <c r="D8" s="53"/>
      <c r="E8" s="53"/>
      <c r="F8" s="53"/>
      <c r="G8" s="335" t="s">
        <v>328</v>
      </c>
      <c r="H8" s="335"/>
      <c r="I8" s="335"/>
      <c r="J8" s="50"/>
      <c r="K8" s="50"/>
      <c r="L8" s="50"/>
      <c r="M8" s="332"/>
      <c r="N8" s="335"/>
      <c r="O8" s="54"/>
      <c r="P8" s="54">
        <v>600</v>
      </c>
      <c r="Q8" s="49">
        <v>5000</v>
      </c>
      <c r="R8" s="335"/>
      <c r="S8" s="335"/>
      <c r="T8" s="335"/>
      <c r="U8" s="335"/>
      <c r="V8" s="335"/>
      <c r="W8" s="335"/>
      <c r="X8" s="335"/>
      <c r="Y8" s="335"/>
      <c r="Z8" s="335"/>
      <c r="AA8" s="335"/>
    </row>
    <row r="9" spans="1:27" x14ac:dyDescent="0.25">
      <c r="A9" s="47" t="s">
        <v>205</v>
      </c>
      <c r="B9" s="351"/>
      <c r="C9" s="394" t="s">
        <v>329</v>
      </c>
      <c r="D9" s="395"/>
      <c r="E9" s="396"/>
      <c r="F9" s="397" t="s">
        <v>330</v>
      </c>
      <c r="G9" s="397"/>
      <c r="H9" s="397"/>
      <c r="I9" s="55"/>
      <c r="J9" s="56" t="s">
        <v>332</v>
      </c>
      <c r="K9" s="57" t="s">
        <v>333</v>
      </c>
      <c r="L9" s="398"/>
      <c r="M9" s="400"/>
      <c r="N9" s="400"/>
      <c r="O9" s="352"/>
      <c r="P9" s="337"/>
      <c r="Q9" s="335"/>
      <c r="R9" s="335"/>
      <c r="S9" s="335"/>
      <c r="T9" s="335"/>
      <c r="U9" s="335"/>
      <c r="V9" s="335"/>
      <c r="W9" s="335"/>
      <c r="X9" s="335"/>
      <c r="Y9" s="335"/>
      <c r="Z9" s="335">
        <v>10</v>
      </c>
      <c r="AA9" s="335">
        <f>Z9/400*600</f>
        <v>15</v>
      </c>
    </row>
    <row r="10" spans="1:27" ht="15.75" thickBot="1" x14ac:dyDescent="0.3">
      <c r="A10" s="128" t="s">
        <v>8</v>
      </c>
      <c r="B10" s="128" t="s">
        <v>18</v>
      </c>
      <c r="C10" s="53" t="s">
        <v>335</v>
      </c>
      <c r="D10" s="50" t="s">
        <v>336</v>
      </c>
      <c r="E10" s="61" t="s">
        <v>19</v>
      </c>
      <c r="F10" s="62" t="s">
        <v>337</v>
      </c>
      <c r="G10" s="53" t="s">
        <v>338</v>
      </c>
      <c r="H10" s="53" t="s">
        <v>339</v>
      </c>
      <c r="I10" s="64" t="s">
        <v>340</v>
      </c>
      <c r="J10" s="60" t="s">
        <v>19</v>
      </c>
      <c r="K10" s="63" t="s">
        <v>341</v>
      </c>
      <c r="L10" s="63"/>
      <c r="M10" s="65" t="s">
        <v>342</v>
      </c>
      <c r="N10" s="66"/>
      <c r="O10" s="338"/>
      <c r="P10" s="68"/>
      <c r="Q10" s="69"/>
      <c r="R10" s="70"/>
      <c r="S10" s="70"/>
      <c r="T10" s="335"/>
      <c r="U10" s="335"/>
      <c r="V10" s="335"/>
      <c r="W10" s="335"/>
      <c r="X10" s="335"/>
      <c r="Y10" s="335"/>
      <c r="Z10" s="335">
        <v>50</v>
      </c>
      <c r="AA10" s="335">
        <f>Z10/400*600</f>
        <v>75</v>
      </c>
    </row>
    <row r="11" spans="1:27" x14ac:dyDescent="0.25">
      <c r="A11" s="74">
        <f t="shared" ref="A11:A16" si="0">Q3</f>
        <v>0</v>
      </c>
      <c r="B11" s="128">
        <f t="shared" ref="B11:B16" si="1">P$3</f>
        <v>20</v>
      </c>
      <c r="C11" s="331">
        <v>144</v>
      </c>
      <c r="D11" s="353">
        <v>3</v>
      </c>
      <c r="E11" s="343">
        <f t="shared" ref="E11:E16" si="2">60/D11*C11/1000</f>
        <v>2.88</v>
      </c>
      <c r="F11" s="354">
        <f t="shared" ref="F11:F16" si="3">E11-$J$7</f>
        <v>2.65</v>
      </c>
      <c r="G11" s="24">
        <v>180</v>
      </c>
      <c r="H11" s="24">
        <v>16.5</v>
      </c>
      <c r="I11" s="355">
        <f t="shared" ref="I11:I16" si="4">60*H11/G11</f>
        <v>5.5</v>
      </c>
      <c r="J11" s="101">
        <f t="shared" ref="J11:J16" si="5">I11/100*A11/100*0.8</f>
        <v>0</v>
      </c>
      <c r="K11" s="340">
        <f t="shared" ref="K11:K16" si="6">J11/E11</f>
        <v>0</v>
      </c>
      <c r="L11" s="348"/>
      <c r="M11" s="341"/>
      <c r="N11" s="356"/>
      <c r="O11" s="331"/>
      <c r="P11" s="331"/>
      <c r="Q11" s="69"/>
      <c r="R11" s="70"/>
      <c r="S11" s="70"/>
      <c r="T11" s="335"/>
      <c r="U11" s="335"/>
      <c r="V11" s="335"/>
      <c r="W11" s="335"/>
      <c r="X11" s="335"/>
      <c r="Y11" s="335"/>
      <c r="Z11" s="335"/>
      <c r="AA11" s="335"/>
    </row>
    <row r="12" spans="1:27" x14ac:dyDescent="0.25">
      <c r="A12" s="74">
        <f t="shared" si="0"/>
        <v>500</v>
      </c>
      <c r="B12" s="128">
        <f t="shared" si="1"/>
        <v>20</v>
      </c>
      <c r="C12" s="331">
        <v>156</v>
      </c>
      <c r="D12" s="353">
        <v>3</v>
      </c>
      <c r="E12" s="343">
        <f t="shared" si="2"/>
        <v>3.12</v>
      </c>
      <c r="F12" s="354">
        <f t="shared" si="3"/>
        <v>2.89</v>
      </c>
      <c r="G12" s="24">
        <v>180</v>
      </c>
      <c r="H12" s="24">
        <v>16.5</v>
      </c>
      <c r="I12" s="355">
        <f t="shared" si="4"/>
        <v>5.5</v>
      </c>
      <c r="J12" s="101">
        <f t="shared" si="5"/>
        <v>0.22000000000000003</v>
      </c>
      <c r="K12" s="340">
        <f t="shared" si="6"/>
        <v>7.0512820512820526E-2</v>
      </c>
      <c r="L12" s="348"/>
      <c r="M12" s="341">
        <f>I12/$I$12</f>
        <v>1</v>
      </c>
      <c r="N12" s="356"/>
      <c r="O12" s="331"/>
      <c r="P12" s="331"/>
      <c r="Q12" s="335"/>
      <c r="R12" s="335"/>
      <c r="S12" s="335"/>
      <c r="T12" s="335"/>
      <c r="U12" s="335"/>
      <c r="V12" s="335"/>
      <c r="W12" s="335"/>
      <c r="X12" s="335"/>
      <c r="Y12" s="335"/>
      <c r="Z12" s="335">
        <v>100</v>
      </c>
      <c r="AA12" s="335">
        <f>Z12/400*600</f>
        <v>150</v>
      </c>
    </row>
    <row r="13" spans="1:27" x14ac:dyDescent="0.25">
      <c r="A13" s="74">
        <f t="shared" si="0"/>
        <v>1000</v>
      </c>
      <c r="B13" s="128">
        <f t="shared" si="1"/>
        <v>20</v>
      </c>
      <c r="C13" s="331">
        <v>192</v>
      </c>
      <c r="D13" s="353">
        <v>3</v>
      </c>
      <c r="E13" s="343">
        <f t="shared" si="2"/>
        <v>3.84</v>
      </c>
      <c r="F13" s="354">
        <f t="shared" si="3"/>
        <v>3.61</v>
      </c>
      <c r="G13" s="24">
        <v>180</v>
      </c>
      <c r="H13" s="24">
        <v>15</v>
      </c>
      <c r="I13" s="355">
        <f t="shared" si="4"/>
        <v>5</v>
      </c>
      <c r="J13" s="101">
        <f t="shared" si="5"/>
        <v>0.4</v>
      </c>
      <c r="K13" s="340">
        <f t="shared" si="6"/>
        <v>0.10416666666666667</v>
      </c>
      <c r="L13" s="348"/>
      <c r="M13" s="341">
        <f>I13/$I$12</f>
        <v>0.90909090909090906</v>
      </c>
      <c r="N13" s="356"/>
      <c r="O13" s="331"/>
      <c r="P13" s="331"/>
      <c r="Q13" s="335"/>
      <c r="R13" s="335"/>
      <c r="S13" s="335"/>
      <c r="T13" s="335"/>
      <c r="U13" s="335"/>
      <c r="V13" s="335"/>
      <c r="W13" s="335"/>
      <c r="X13" s="335"/>
      <c r="Y13" s="335"/>
      <c r="Z13" s="335">
        <v>200</v>
      </c>
      <c r="AA13" s="335">
        <f>Z13/400*600</f>
        <v>300</v>
      </c>
    </row>
    <row r="14" spans="1:27" x14ac:dyDescent="0.25">
      <c r="A14" s="74">
        <f t="shared" si="0"/>
        <v>3000</v>
      </c>
      <c r="B14" s="128">
        <f t="shared" si="1"/>
        <v>20</v>
      </c>
      <c r="C14" s="331">
        <v>324</v>
      </c>
      <c r="D14" s="353">
        <v>3</v>
      </c>
      <c r="E14" s="343">
        <f t="shared" si="2"/>
        <v>6.48</v>
      </c>
      <c r="F14" s="354">
        <f t="shared" si="3"/>
        <v>6.25</v>
      </c>
      <c r="G14" s="24">
        <v>180</v>
      </c>
      <c r="H14" s="24">
        <v>13.5</v>
      </c>
      <c r="I14" s="355">
        <f t="shared" si="4"/>
        <v>4.5</v>
      </c>
      <c r="J14" s="101">
        <f t="shared" si="5"/>
        <v>1.08</v>
      </c>
      <c r="K14" s="340">
        <f t="shared" si="6"/>
        <v>0.16666666666666666</v>
      </c>
      <c r="L14" s="348"/>
      <c r="M14" s="341">
        <f>I14/$I$12</f>
        <v>0.81818181818181823</v>
      </c>
      <c r="N14" s="356"/>
      <c r="O14" s="331"/>
      <c r="P14" s="331"/>
      <c r="Q14" s="335"/>
      <c r="R14" s="335"/>
      <c r="S14" s="335"/>
      <c r="T14" s="335"/>
      <c r="U14" s="335"/>
      <c r="V14" s="335"/>
      <c r="W14" s="335"/>
      <c r="X14" s="335"/>
      <c r="Y14" s="335"/>
      <c r="Z14" s="335">
        <v>300</v>
      </c>
      <c r="AA14" s="335">
        <f>Z14/400*600</f>
        <v>450</v>
      </c>
    </row>
    <row r="15" spans="1:27" x14ac:dyDescent="0.25">
      <c r="A15" s="74">
        <f t="shared" si="0"/>
        <v>4000</v>
      </c>
      <c r="B15" s="128">
        <f t="shared" si="1"/>
        <v>20</v>
      </c>
      <c r="C15" s="331">
        <v>537</v>
      </c>
      <c r="D15" s="353">
        <v>3</v>
      </c>
      <c r="E15" s="343">
        <f t="shared" si="2"/>
        <v>10.74</v>
      </c>
      <c r="F15" s="354">
        <f t="shared" si="3"/>
        <v>10.51</v>
      </c>
      <c r="G15" s="24">
        <v>180</v>
      </c>
      <c r="H15" s="24">
        <v>13.5</v>
      </c>
      <c r="I15" s="355">
        <f t="shared" si="4"/>
        <v>4.5</v>
      </c>
      <c r="J15" s="101">
        <f t="shared" si="5"/>
        <v>1.4400000000000002</v>
      </c>
      <c r="K15" s="340">
        <f t="shared" si="6"/>
        <v>0.13407821229050282</v>
      </c>
      <c r="L15" s="348"/>
      <c r="M15" s="341">
        <f>I15/$I$12</f>
        <v>0.81818181818181823</v>
      </c>
      <c r="N15" s="356"/>
      <c r="O15" s="331"/>
      <c r="P15" s="331"/>
      <c r="Q15" s="335"/>
      <c r="R15" s="335"/>
      <c r="S15" s="335"/>
      <c r="T15" s="335"/>
      <c r="U15" s="335"/>
      <c r="V15" s="335"/>
      <c r="W15" s="335"/>
      <c r="X15" s="335"/>
      <c r="Y15" s="335"/>
      <c r="Z15" s="335">
        <v>400</v>
      </c>
      <c r="AA15" s="335">
        <f>Z15/400*600</f>
        <v>600</v>
      </c>
    </row>
    <row r="16" spans="1:27" x14ac:dyDescent="0.25">
      <c r="A16" s="74">
        <f t="shared" si="0"/>
        <v>5000</v>
      </c>
      <c r="B16" s="128">
        <f t="shared" si="1"/>
        <v>20</v>
      </c>
      <c r="C16" s="331">
        <v>733</v>
      </c>
      <c r="D16" s="353">
        <v>3</v>
      </c>
      <c r="E16" s="343">
        <f t="shared" si="2"/>
        <v>14.66</v>
      </c>
      <c r="F16" s="354">
        <f t="shared" si="3"/>
        <v>14.43</v>
      </c>
      <c r="G16" s="24">
        <v>180</v>
      </c>
      <c r="H16" s="24">
        <v>12</v>
      </c>
      <c r="I16" s="355">
        <f t="shared" si="4"/>
        <v>4</v>
      </c>
      <c r="J16" s="101">
        <f t="shared" si="5"/>
        <v>1.6</v>
      </c>
      <c r="K16" s="340">
        <f t="shared" si="6"/>
        <v>0.10914051841746249</v>
      </c>
      <c r="L16" s="348"/>
      <c r="M16" s="341">
        <f>I16/$I$12</f>
        <v>0.72727272727272729</v>
      </c>
      <c r="N16" s="356"/>
      <c r="O16" s="331"/>
      <c r="P16" s="331"/>
      <c r="Q16" s="335"/>
      <c r="R16" s="335"/>
      <c r="S16" s="335"/>
      <c r="T16" s="335"/>
      <c r="U16" s="335"/>
      <c r="V16" s="335"/>
      <c r="W16" s="335"/>
      <c r="X16" s="335"/>
      <c r="Y16" s="335"/>
      <c r="Z16" s="335"/>
      <c r="AA16" s="335"/>
    </row>
    <row r="17" spans="1:27" x14ac:dyDescent="0.25">
      <c r="A17" s="74"/>
      <c r="B17" s="74"/>
      <c r="C17" s="331"/>
      <c r="D17" s="331"/>
      <c r="E17" s="343"/>
      <c r="F17" s="354"/>
      <c r="G17" s="24"/>
      <c r="H17" s="24"/>
      <c r="I17" s="355"/>
      <c r="J17" s="101"/>
      <c r="K17" s="348"/>
      <c r="L17" s="348"/>
      <c r="M17" s="341"/>
      <c r="N17" s="356"/>
      <c r="O17" s="331"/>
      <c r="P17" s="331"/>
      <c r="Q17" s="335"/>
      <c r="R17" s="335"/>
      <c r="S17" s="335"/>
      <c r="T17" s="335"/>
      <c r="U17" s="335"/>
      <c r="V17" s="335"/>
      <c r="W17" s="335"/>
      <c r="X17" s="335"/>
      <c r="Y17" s="335"/>
      <c r="Z17" s="335"/>
      <c r="AA17" s="335"/>
    </row>
    <row r="18" spans="1:27" x14ac:dyDescent="0.25">
      <c r="A18" s="74">
        <f t="shared" ref="A18:A23" si="7">Q3</f>
        <v>0</v>
      </c>
      <c r="B18" s="74">
        <f t="shared" ref="B18:B23" si="8">P$4</f>
        <v>136</v>
      </c>
      <c r="C18" s="331">
        <v>200</v>
      </c>
      <c r="D18" s="353">
        <v>1</v>
      </c>
      <c r="E18" s="343">
        <f t="shared" ref="E18:E23" si="9">60/D18*C18/1000</f>
        <v>12</v>
      </c>
      <c r="F18" s="354">
        <f t="shared" ref="F18:F23" si="10">E18-$J$7</f>
        <v>11.77</v>
      </c>
      <c r="G18" s="24">
        <v>60</v>
      </c>
      <c r="H18" s="24">
        <v>34</v>
      </c>
      <c r="I18" s="355">
        <f t="shared" ref="I18:I23" si="11">60*H18/G18</f>
        <v>34</v>
      </c>
      <c r="J18" s="101">
        <f t="shared" ref="J18:J23" si="12">I18/100*A18/100*0.8</f>
        <v>0</v>
      </c>
      <c r="K18" s="340">
        <f t="shared" ref="K18:K23" si="13">J18/E18</f>
        <v>0</v>
      </c>
      <c r="L18" s="348"/>
      <c r="M18" s="341"/>
      <c r="N18" s="356"/>
      <c r="O18" s="331"/>
      <c r="P18" s="331"/>
      <c r="Q18" s="69"/>
      <c r="R18" s="70"/>
      <c r="S18" s="70"/>
      <c r="T18" s="335"/>
      <c r="U18" s="335"/>
      <c r="V18" s="335"/>
      <c r="W18" s="335"/>
      <c r="X18" s="335"/>
      <c r="Y18" s="335"/>
      <c r="Z18" s="335"/>
      <c r="AA18" s="335"/>
    </row>
    <row r="19" spans="1:27" x14ac:dyDescent="0.25">
      <c r="A19" s="74">
        <f t="shared" si="7"/>
        <v>500</v>
      </c>
      <c r="B19" s="74">
        <f t="shared" si="8"/>
        <v>136</v>
      </c>
      <c r="C19" s="331">
        <v>212</v>
      </c>
      <c r="D19" s="353">
        <v>1</v>
      </c>
      <c r="E19" s="343">
        <f t="shared" si="9"/>
        <v>12.72</v>
      </c>
      <c r="F19" s="354">
        <f t="shared" si="10"/>
        <v>12.49</v>
      </c>
      <c r="G19" s="24">
        <v>60</v>
      </c>
      <c r="H19" s="24">
        <v>32</v>
      </c>
      <c r="I19" s="355">
        <f t="shared" si="11"/>
        <v>32</v>
      </c>
      <c r="J19" s="101">
        <f t="shared" si="12"/>
        <v>1.2800000000000002</v>
      </c>
      <c r="K19" s="340">
        <f t="shared" si="13"/>
        <v>0.10062893081761008</v>
      </c>
      <c r="L19" s="348"/>
      <c r="M19" s="341">
        <f>I19/$I$19</f>
        <v>1</v>
      </c>
      <c r="N19" s="356"/>
      <c r="O19" s="331"/>
      <c r="P19" s="331"/>
      <c r="Q19" s="335"/>
      <c r="R19" s="335"/>
      <c r="S19" s="335"/>
      <c r="T19" s="335"/>
      <c r="U19" s="335"/>
      <c r="V19" s="335"/>
      <c r="W19" s="335"/>
      <c r="X19" s="335"/>
      <c r="Y19" s="335"/>
      <c r="Z19" s="335">
        <v>100</v>
      </c>
      <c r="AA19" s="335">
        <f>Z19/400*600</f>
        <v>150</v>
      </c>
    </row>
    <row r="20" spans="1:27" x14ac:dyDescent="0.25">
      <c r="A20" s="74">
        <f t="shared" si="7"/>
        <v>1000</v>
      </c>
      <c r="B20" s="74">
        <f t="shared" si="8"/>
        <v>136</v>
      </c>
      <c r="C20" s="331">
        <v>287</v>
      </c>
      <c r="D20" s="353">
        <v>1</v>
      </c>
      <c r="E20" s="343">
        <f t="shared" si="9"/>
        <v>17.22</v>
      </c>
      <c r="F20" s="354">
        <f t="shared" si="10"/>
        <v>16.989999999999998</v>
      </c>
      <c r="G20" s="24">
        <v>60</v>
      </c>
      <c r="H20" s="24">
        <v>31</v>
      </c>
      <c r="I20" s="355">
        <f t="shared" si="11"/>
        <v>31</v>
      </c>
      <c r="J20" s="101">
        <f t="shared" si="12"/>
        <v>2.4800000000000004</v>
      </c>
      <c r="K20" s="340">
        <f t="shared" si="13"/>
        <v>0.14401858304297332</v>
      </c>
      <c r="L20" s="348"/>
      <c r="M20" s="341">
        <f>I20/$I$19</f>
        <v>0.96875</v>
      </c>
      <c r="N20" s="356"/>
      <c r="O20" s="331"/>
      <c r="P20" s="331"/>
      <c r="Q20" s="335"/>
      <c r="R20" s="335"/>
      <c r="S20" s="335"/>
      <c r="T20" s="335"/>
      <c r="U20" s="335"/>
      <c r="V20" s="335"/>
      <c r="W20" s="335"/>
      <c r="X20" s="335"/>
      <c r="Y20" s="335"/>
      <c r="Z20" s="335">
        <v>200</v>
      </c>
      <c r="AA20" s="335">
        <f>Z20/400*600</f>
        <v>300</v>
      </c>
    </row>
    <row r="21" spans="1:27" x14ac:dyDescent="0.25">
      <c r="A21" s="74">
        <f t="shared" si="7"/>
        <v>3000</v>
      </c>
      <c r="B21" s="74">
        <f t="shared" si="8"/>
        <v>136</v>
      </c>
      <c r="C21" s="331">
        <v>361</v>
      </c>
      <c r="D21" s="353">
        <v>1</v>
      </c>
      <c r="E21" s="343">
        <f t="shared" si="9"/>
        <v>21.66</v>
      </c>
      <c r="F21" s="354">
        <f t="shared" si="10"/>
        <v>21.43</v>
      </c>
      <c r="G21" s="24">
        <v>60</v>
      </c>
      <c r="H21" s="24">
        <v>29</v>
      </c>
      <c r="I21" s="355">
        <f t="shared" si="11"/>
        <v>29</v>
      </c>
      <c r="J21" s="101">
        <f t="shared" si="12"/>
        <v>6.96</v>
      </c>
      <c r="K21" s="340">
        <f t="shared" si="13"/>
        <v>0.32132963988919666</v>
      </c>
      <c r="L21" s="348"/>
      <c r="M21" s="341">
        <f>I21/$I$19</f>
        <v>0.90625</v>
      </c>
      <c r="N21" s="356"/>
      <c r="O21" s="331"/>
      <c r="P21" s="331"/>
      <c r="Q21" s="335"/>
      <c r="R21" s="335"/>
      <c r="S21" s="335"/>
      <c r="T21" s="335"/>
      <c r="U21" s="335"/>
      <c r="V21" s="335"/>
      <c r="W21" s="335"/>
      <c r="X21" s="335"/>
      <c r="Y21" s="335"/>
      <c r="Z21" s="335">
        <v>300</v>
      </c>
      <c r="AA21" s="335">
        <f>Z21/400*600</f>
        <v>450</v>
      </c>
    </row>
    <row r="22" spans="1:27" x14ac:dyDescent="0.25">
      <c r="A22" s="74">
        <f t="shared" si="7"/>
        <v>4000</v>
      </c>
      <c r="B22" s="74">
        <f t="shared" si="8"/>
        <v>136</v>
      </c>
      <c r="C22" s="331">
        <v>432</v>
      </c>
      <c r="D22" s="353">
        <v>1</v>
      </c>
      <c r="E22" s="343">
        <f t="shared" si="9"/>
        <v>25.92</v>
      </c>
      <c r="F22" s="354">
        <f t="shared" si="10"/>
        <v>25.69</v>
      </c>
      <c r="G22" s="24">
        <v>60</v>
      </c>
      <c r="H22" s="24">
        <v>28</v>
      </c>
      <c r="I22" s="355">
        <f t="shared" si="11"/>
        <v>28</v>
      </c>
      <c r="J22" s="101">
        <f t="shared" si="12"/>
        <v>8.9599999999999991</v>
      </c>
      <c r="K22" s="340">
        <f t="shared" si="13"/>
        <v>0.34567901234567894</v>
      </c>
      <c r="L22" s="348"/>
      <c r="M22" s="341">
        <f>I22/$I$19</f>
        <v>0.875</v>
      </c>
      <c r="N22" s="356"/>
      <c r="O22" s="331"/>
      <c r="P22" s="331"/>
      <c r="Q22" s="335"/>
      <c r="R22" s="335"/>
      <c r="S22" s="335"/>
      <c r="T22" s="335"/>
      <c r="U22" s="335"/>
      <c r="V22" s="335"/>
      <c r="W22" s="335"/>
      <c r="X22" s="335"/>
      <c r="Y22" s="335"/>
      <c r="Z22" s="335">
        <v>400</v>
      </c>
      <c r="AA22" s="335">
        <f>Z22/400*600</f>
        <v>600</v>
      </c>
    </row>
    <row r="23" spans="1:27" x14ac:dyDescent="0.25">
      <c r="A23" s="74">
        <f t="shared" si="7"/>
        <v>5000</v>
      </c>
      <c r="B23" s="74">
        <f t="shared" si="8"/>
        <v>136</v>
      </c>
      <c r="C23" s="331">
        <v>521</v>
      </c>
      <c r="D23" s="353">
        <v>1</v>
      </c>
      <c r="E23" s="343">
        <f t="shared" si="9"/>
        <v>31.26</v>
      </c>
      <c r="F23" s="354">
        <f t="shared" si="10"/>
        <v>31.03</v>
      </c>
      <c r="G23" s="24">
        <v>60</v>
      </c>
      <c r="H23" s="24">
        <v>27</v>
      </c>
      <c r="I23" s="355">
        <f t="shared" si="11"/>
        <v>27</v>
      </c>
      <c r="J23" s="101">
        <f t="shared" si="12"/>
        <v>10.8</v>
      </c>
      <c r="K23" s="340">
        <f t="shared" si="13"/>
        <v>0.34548944337811899</v>
      </c>
      <c r="L23" s="348"/>
      <c r="M23" s="341">
        <f>I23/$I$19</f>
        <v>0.84375</v>
      </c>
      <c r="N23" s="356"/>
      <c r="O23" s="331"/>
      <c r="P23" s="331"/>
      <c r="Q23" s="335"/>
      <c r="R23" s="335"/>
      <c r="S23" s="335"/>
      <c r="T23" s="335"/>
      <c r="U23" s="335"/>
      <c r="V23" s="335"/>
      <c r="W23" s="335"/>
      <c r="X23" s="335"/>
      <c r="Y23" s="335"/>
      <c r="Z23" s="335"/>
      <c r="AA23" s="335"/>
    </row>
    <row r="24" spans="1:27" x14ac:dyDescent="0.25">
      <c r="A24" s="128"/>
      <c r="B24" s="128"/>
      <c r="C24" s="331"/>
      <c r="D24" s="331"/>
      <c r="E24" s="343"/>
      <c r="F24" s="354"/>
      <c r="G24" s="24"/>
      <c r="H24" s="24"/>
      <c r="I24" s="355"/>
      <c r="J24" s="101"/>
      <c r="K24" s="348"/>
      <c r="L24" s="348"/>
      <c r="M24" s="341"/>
      <c r="N24" s="356"/>
      <c r="O24" s="331"/>
      <c r="P24" s="331"/>
      <c r="Q24" s="335"/>
      <c r="R24" s="335"/>
      <c r="S24" s="335"/>
      <c r="T24" s="335"/>
      <c r="U24" s="335"/>
      <c r="V24" s="335"/>
      <c r="W24" s="335"/>
      <c r="X24" s="335"/>
      <c r="Y24" s="335"/>
      <c r="Z24" s="335"/>
      <c r="AA24" s="335"/>
    </row>
    <row r="25" spans="1:27" x14ac:dyDescent="0.25">
      <c r="A25" s="128">
        <f t="shared" ref="A25:A30" si="14">Q3</f>
        <v>0</v>
      </c>
      <c r="B25" s="128">
        <f t="shared" ref="B25:B30" si="15">P$5</f>
        <v>252</v>
      </c>
      <c r="C25" s="331">
        <v>275</v>
      </c>
      <c r="D25" s="353">
        <v>1</v>
      </c>
      <c r="E25" s="343">
        <f t="shared" ref="E25:E30" si="16">60/D25*C25/1000</f>
        <v>16.5</v>
      </c>
      <c r="F25" s="354">
        <f t="shared" ref="F25:F30" si="17">E25-$J$7</f>
        <v>16.27</v>
      </c>
      <c r="G25" s="24">
        <v>60</v>
      </c>
      <c r="H25" s="24">
        <v>57</v>
      </c>
      <c r="I25" s="355">
        <f t="shared" ref="I25:I30" si="18">60*H25/G25</f>
        <v>57</v>
      </c>
      <c r="J25" s="101">
        <f t="shared" ref="J25:J30" si="19">I25/100*A25/100*0.8</f>
        <v>0</v>
      </c>
      <c r="K25" s="340">
        <f t="shared" ref="K25:K30" si="20">J25/E25</f>
        <v>0</v>
      </c>
      <c r="L25" s="348"/>
      <c r="M25" s="341"/>
      <c r="N25" s="356"/>
      <c r="O25" s="331"/>
      <c r="P25" s="331"/>
      <c r="Q25" s="69"/>
      <c r="R25" s="70"/>
      <c r="S25" s="70"/>
      <c r="T25" s="335"/>
      <c r="U25" s="335"/>
      <c r="V25" s="335"/>
      <c r="W25" s="335"/>
      <c r="X25" s="335"/>
      <c r="Y25" s="335"/>
      <c r="Z25" s="335"/>
      <c r="AA25" s="335"/>
    </row>
    <row r="26" spans="1:27" x14ac:dyDescent="0.25">
      <c r="A26" s="128">
        <f t="shared" si="14"/>
        <v>500</v>
      </c>
      <c r="B26" s="128">
        <f t="shared" si="15"/>
        <v>252</v>
      </c>
      <c r="C26" s="331">
        <v>313</v>
      </c>
      <c r="D26" s="353">
        <v>1</v>
      </c>
      <c r="E26" s="343">
        <f t="shared" si="16"/>
        <v>18.78</v>
      </c>
      <c r="F26" s="354">
        <f t="shared" si="17"/>
        <v>18.55</v>
      </c>
      <c r="G26" s="24">
        <v>60</v>
      </c>
      <c r="H26" s="24">
        <v>55</v>
      </c>
      <c r="I26" s="355">
        <f t="shared" si="18"/>
        <v>55</v>
      </c>
      <c r="J26" s="101">
        <f t="shared" si="19"/>
        <v>2.2000000000000002</v>
      </c>
      <c r="K26" s="340">
        <f t="shared" si="20"/>
        <v>0.11714589989350373</v>
      </c>
      <c r="L26" s="348"/>
      <c r="M26" s="341">
        <f>I26/$I$26</f>
        <v>1</v>
      </c>
      <c r="N26" s="356"/>
      <c r="O26" s="331"/>
      <c r="P26" s="331"/>
      <c r="Q26" s="335"/>
      <c r="R26" s="335"/>
      <c r="S26" s="335"/>
      <c r="T26" s="335"/>
      <c r="U26" s="335"/>
      <c r="V26" s="335"/>
      <c r="W26" s="335"/>
      <c r="X26" s="335"/>
      <c r="Y26" s="335"/>
      <c r="Z26" s="335">
        <v>100</v>
      </c>
      <c r="AA26" s="335">
        <f>Z26/400*600</f>
        <v>150</v>
      </c>
    </row>
    <row r="27" spans="1:27" x14ac:dyDescent="0.25">
      <c r="A27" s="128">
        <f t="shared" si="14"/>
        <v>1000</v>
      </c>
      <c r="B27" s="128">
        <f t="shared" si="15"/>
        <v>252</v>
      </c>
      <c r="C27" s="331">
        <v>361</v>
      </c>
      <c r="D27" s="353">
        <v>1</v>
      </c>
      <c r="E27" s="343">
        <f t="shared" si="16"/>
        <v>21.66</v>
      </c>
      <c r="F27" s="354">
        <f t="shared" si="17"/>
        <v>21.43</v>
      </c>
      <c r="G27" s="24">
        <v>60</v>
      </c>
      <c r="H27" s="24">
        <v>55</v>
      </c>
      <c r="I27" s="355">
        <f t="shared" si="18"/>
        <v>55</v>
      </c>
      <c r="J27" s="101">
        <f t="shared" si="19"/>
        <v>4.4000000000000004</v>
      </c>
      <c r="K27" s="340">
        <f t="shared" si="20"/>
        <v>0.20313942751615882</v>
      </c>
      <c r="L27" s="348"/>
      <c r="M27" s="341">
        <f>I27/$I$26</f>
        <v>1</v>
      </c>
      <c r="N27" s="356"/>
      <c r="O27" s="331"/>
      <c r="P27" s="331"/>
      <c r="Q27" s="335"/>
      <c r="R27" s="335"/>
      <c r="S27" s="335"/>
      <c r="T27" s="335"/>
      <c r="U27" s="335"/>
      <c r="V27" s="335"/>
      <c r="W27" s="335"/>
      <c r="X27" s="335"/>
      <c r="Y27" s="335"/>
      <c r="Z27" s="335">
        <v>200</v>
      </c>
      <c r="AA27" s="335">
        <f>Z27/400*600</f>
        <v>300</v>
      </c>
    </row>
    <row r="28" spans="1:27" x14ac:dyDescent="0.25">
      <c r="A28" s="128">
        <f t="shared" si="14"/>
        <v>3000</v>
      </c>
      <c r="B28" s="128">
        <f t="shared" si="15"/>
        <v>252</v>
      </c>
      <c r="C28" s="331">
        <v>549</v>
      </c>
      <c r="D28" s="353">
        <v>1</v>
      </c>
      <c r="E28" s="343">
        <f t="shared" si="16"/>
        <v>32.94</v>
      </c>
      <c r="F28" s="354">
        <f t="shared" si="17"/>
        <v>32.71</v>
      </c>
      <c r="G28" s="24">
        <v>60</v>
      </c>
      <c r="H28" s="24">
        <v>53</v>
      </c>
      <c r="I28" s="355">
        <f t="shared" si="18"/>
        <v>53</v>
      </c>
      <c r="J28" s="101">
        <f t="shared" si="19"/>
        <v>12.72</v>
      </c>
      <c r="K28" s="340">
        <f t="shared" si="20"/>
        <v>0.38615664845173048</v>
      </c>
      <c r="L28" s="348"/>
      <c r="M28" s="341">
        <f>I28/$I$26</f>
        <v>0.96363636363636362</v>
      </c>
      <c r="N28" s="356"/>
      <c r="O28" s="331"/>
      <c r="P28" s="331"/>
      <c r="Q28" s="335"/>
      <c r="R28" s="335"/>
      <c r="S28" s="335"/>
      <c r="T28" s="335"/>
      <c r="U28" s="335"/>
      <c r="V28" s="335"/>
      <c r="W28" s="335"/>
      <c r="X28" s="335"/>
      <c r="Y28" s="335"/>
      <c r="Z28" s="335">
        <v>300</v>
      </c>
      <c r="AA28" s="335">
        <f>Z28/400*600</f>
        <v>450</v>
      </c>
    </row>
    <row r="29" spans="1:27" x14ac:dyDescent="0.25">
      <c r="A29" s="128">
        <f t="shared" si="14"/>
        <v>4000</v>
      </c>
      <c r="B29" s="128">
        <f t="shared" si="15"/>
        <v>252</v>
      </c>
      <c r="C29" s="331">
        <v>660</v>
      </c>
      <c r="D29" s="353">
        <v>1</v>
      </c>
      <c r="E29" s="343">
        <f t="shared" si="16"/>
        <v>39.6</v>
      </c>
      <c r="F29" s="354">
        <f t="shared" si="17"/>
        <v>39.370000000000005</v>
      </c>
      <c r="G29" s="24">
        <v>60</v>
      </c>
      <c r="H29" s="24">
        <v>52</v>
      </c>
      <c r="I29" s="355">
        <f t="shared" si="18"/>
        <v>52</v>
      </c>
      <c r="J29" s="101">
        <f t="shared" si="19"/>
        <v>16.64</v>
      </c>
      <c r="K29" s="340">
        <f t="shared" si="20"/>
        <v>0.42020202020202019</v>
      </c>
      <c r="L29" s="348"/>
      <c r="M29" s="341">
        <f>I29/$I$26</f>
        <v>0.94545454545454544</v>
      </c>
      <c r="N29" s="356"/>
      <c r="O29" s="331"/>
      <c r="P29" s="331"/>
      <c r="Q29" s="335"/>
      <c r="R29" s="335"/>
      <c r="S29" s="335"/>
      <c r="T29" s="335"/>
      <c r="U29" s="335"/>
      <c r="V29" s="335"/>
      <c r="W29" s="335"/>
      <c r="X29" s="335"/>
      <c r="Y29" s="335"/>
      <c r="Z29" s="335">
        <v>400</v>
      </c>
      <c r="AA29" s="335">
        <f>Z29/400*600</f>
        <v>600</v>
      </c>
    </row>
    <row r="30" spans="1:27" x14ac:dyDescent="0.25">
      <c r="A30" s="128">
        <f t="shared" si="14"/>
        <v>5000</v>
      </c>
      <c r="B30" s="128">
        <f t="shared" si="15"/>
        <v>252</v>
      </c>
      <c r="C30" s="331">
        <v>778</v>
      </c>
      <c r="D30" s="353">
        <v>1</v>
      </c>
      <c r="E30" s="343">
        <f t="shared" si="16"/>
        <v>46.68</v>
      </c>
      <c r="F30" s="354">
        <f t="shared" si="17"/>
        <v>46.45</v>
      </c>
      <c r="G30" s="24">
        <v>60</v>
      </c>
      <c r="H30" s="24">
        <v>50</v>
      </c>
      <c r="I30" s="355">
        <f t="shared" si="18"/>
        <v>50</v>
      </c>
      <c r="J30" s="101">
        <f t="shared" si="19"/>
        <v>20</v>
      </c>
      <c r="K30" s="340">
        <f t="shared" si="20"/>
        <v>0.42844901456726647</v>
      </c>
      <c r="L30" s="348"/>
      <c r="M30" s="341">
        <f>I30/$I$26</f>
        <v>0.90909090909090906</v>
      </c>
      <c r="N30" s="356"/>
      <c r="O30" s="331"/>
      <c r="P30" s="331"/>
      <c r="Q30" s="335"/>
      <c r="R30" s="335"/>
      <c r="S30" s="335"/>
      <c r="T30" s="335"/>
      <c r="U30" s="335"/>
      <c r="V30" s="335"/>
      <c r="W30" s="335"/>
      <c r="X30" s="335"/>
      <c r="Y30" s="335"/>
      <c r="Z30" s="335"/>
      <c r="AA30" s="335"/>
    </row>
    <row r="31" spans="1:27" x14ac:dyDescent="0.25">
      <c r="A31" s="74"/>
      <c r="B31" s="128"/>
      <c r="C31" s="331"/>
      <c r="D31" s="331"/>
      <c r="E31" s="343"/>
      <c r="F31" s="354"/>
      <c r="G31" s="24"/>
      <c r="H31" s="24"/>
      <c r="I31" s="355"/>
      <c r="J31" s="101"/>
      <c r="K31" s="348"/>
      <c r="L31" s="348"/>
      <c r="M31" s="341"/>
      <c r="N31" s="356"/>
      <c r="O31" s="331"/>
      <c r="P31" s="331"/>
      <c r="Q31" s="335"/>
      <c r="R31" s="335"/>
      <c r="S31" s="335"/>
      <c r="T31" s="335"/>
      <c r="U31" s="335"/>
      <c r="V31" s="335"/>
      <c r="W31" s="335"/>
      <c r="X31" s="335"/>
      <c r="Y31" s="335"/>
      <c r="Z31" s="335"/>
      <c r="AA31" s="335"/>
    </row>
    <row r="32" spans="1:27" x14ac:dyDescent="0.25">
      <c r="A32" s="128">
        <f t="shared" ref="A32:A37" si="21">Q3</f>
        <v>0</v>
      </c>
      <c r="B32" s="128">
        <f t="shared" ref="B32:B37" si="22">P$6</f>
        <v>368</v>
      </c>
      <c r="C32" s="331">
        <v>373</v>
      </c>
      <c r="D32" s="353">
        <v>1</v>
      </c>
      <c r="E32" s="343">
        <f t="shared" ref="E32:E37" si="23">60/D32*C32/1000</f>
        <v>22.38</v>
      </c>
      <c r="F32" s="354">
        <f t="shared" ref="F32:F37" si="24">E32-$J$7</f>
        <v>22.15</v>
      </c>
      <c r="G32" s="24">
        <v>60</v>
      </c>
      <c r="H32" s="24">
        <v>83</v>
      </c>
      <c r="I32" s="355">
        <f t="shared" ref="I32:I37" si="25">60*H32/G32</f>
        <v>83</v>
      </c>
      <c r="J32" s="101">
        <f t="shared" ref="J32:J37" si="26">I32/100*A32/100*0.8</f>
        <v>0</v>
      </c>
      <c r="K32" s="340">
        <f t="shared" ref="K32:K37" si="27">J32/E32</f>
        <v>0</v>
      </c>
      <c r="L32" s="348"/>
      <c r="M32" s="341"/>
      <c r="N32" s="356"/>
      <c r="O32" s="331"/>
      <c r="P32" s="331"/>
      <c r="Q32" s="69"/>
      <c r="R32" s="70"/>
      <c r="S32" s="70"/>
      <c r="T32" s="335"/>
      <c r="U32" s="335"/>
      <c r="V32" s="335"/>
      <c r="W32" s="335"/>
      <c r="X32" s="335"/>
      <c r="Y32" s="335"/>
      <c r="Z32" s="335"/>
      <c r="AA32" s="335"/>
    </row>
    <row r="33" spans="1:27" x14ac:dyDescent="0.25">
      <c r="A33" s="128">
        <f t="shared" si="21"/>
        <v>500</v>
      </c>
      <c r="B33" s="128">
        <f t="shared" si="22"/>
        <v>368</v>
      </c>
      <c r="C33" s="331">
        <v>438</v>
      </c>
      <c r="D33" s="353">
        <v>1</v>
      </c>
      <c r="E33" s="343">
        <f t="shared" si="23"/>
        <v>26.28</v>
      </c>
      <c r="F33" s="354">
        <f t="shared" si="24"/>
        <v>26.05</v>
      </c>
      <c r="G33" s="24">
        <v>60</v>
      </c>
      <c r="H33" s="24">
        <v>81</v>
      </c>
      <c r="I33" s="355">
        <f t="shared" si="25"/>
        <v>81</v>
      </c>
      <c r="J33" s="101">
        <f t="shared" si="26"/>
        <v>3.24</v>
      </c>
      <c r="K33" s="340">
        <f t="shared" si="27"/>
        <v>0.12328767123287672</v>
      </c>
      <c r="L33" s="348"/>
      <c r="M33" s="341">
        <f>I33/$I$33</f>
        <v>1</v>
      </c>
      <c r="N33" s="356"/>
      <c r="O33" s="331"/>
      <c r="P33" s="331"/>
      <c r="Q33" s="335"/>
      <c r="R33" s="335"/>
      <c r="S33" s="335"/>
      <c r="T33" s="335"/>
      <c r="U33" s="335"/>
      <c r="V33" s="335"/>
      <c r="W33" s="335"/>
      <c r="X33" s="335"/>
      <c r="Y33" s="335"/>
      <c r="Z33" s="335">
        <v>100</v>
      </c>
      <c r="AA33" s="335">
        <f>Z33/400*600</f>
        <v>150</v>
      </c>
    </row>
    <row r="34" spans="1:27" x14ac:dyDescent="0.25">
      <c r="A34" s="128">
        <f t="shared" si="21"/>
        <v>1000</v>
      </c>
      <c r="B34" s="128">
        <f t="shared" si="22"/>
        <v>368</v>
      </c>
      <c r="C34" s="331">
        <v>484</v>
      </c>
      <c r="D34" s="353">
        <v>1</v>
      </c>
      <c r="E34" s="343">
        <f t="shared" si="23"/>
        <v>29.04</v>
      </c>
      <c r="F34" s="354">
        <f t="shared" si="24"/>
        <v>28.81</v>
      </c>
      <c r="G34" s="24">
        <v>60</v>
      </c>
      <c r="H34" s="24">
        <v>80</v>
      </c>
      <c r="I34" s="355">
        <f t="shared" si="25"/>
        <v>80</v>
      </c>
      <c r="J34" s="101">
        <f t="shared" si="26"/>
        <v>6.4</v>
      </c>
      <c r="K34" s="340">
        <f t="shared" si="27"/>
        <v>0.22038567493112948</v>
      </c>
      <c r="L34" s="348"/>
      <c r="M34" s="341">
        <f>I34/$I$33</f>
        <v>0.98765432098765427</v>
      </c>
      <c r="N34" s="356"/>
      <c r="O34" s="331"/>
      <c r="P34" s="331"/>
      <c r="Q34" s="335"/>
      <c r="R34" s="335"/>
      <c r="S34" s="335"/>
      <c r="T34" s="335"/>
      <c r="U34" s="335"/>
      <c r="V34" s="335"/>
      <c r="W34" s="335"/>
      <c r="X34" s="335"/>
      <c r="Y34" s="335"/>
      <c r="Z34" s="335">
        <v>200</v>
      </c>
      <c r="AA34" s="335">
        <f>Z34/400*600</f>
        <v>300</v>
      </c>
    </row>
    <row r="35" spans="1:27" x14ac:dyDescent="0.25">
      <c r="A35" s="128">
        <f t="shared" si="21"/>
        <v>3000</v>
      </c>
      <c r="B35" s="128">
        <f t="shared" si="22"/>
        <v>368</v>
      </c>
      <c r="C35" s="331">
        <v>751</v>
      </c>
      <c r="D35" s="353">
        <v>1</v>
      </c>
      <c r="E35" s="343">
        <f t="shared" si="23"/>
        <v>45.06</v>
      </c>
      <c r="F35" s="354">
        <f t="shared" si="24"/>
        <v>44.830000000000005</v>
      </c>
      <c r="G35" s="24">
        <v>60</v>
      </c>
      <c r="H35" s="24">
        <v>78</v>
      </c>
      <c r="I35" s="355">
        <f t="shared" si="25"/>
        <v>78</v>
      </c>
      <c r="J35" s="101">
        <f t="shared" si="26"/>
        <v>18.72</v>
      </c>
      <c r="K35" s="340">
        <f t="shared" si="27"/>
        <v>0.4154460719041278</v>
      </c>
      <c r="L35" s="348"/>
      <c r="M35" s="341">
        <f>I35/$I$33</f>
        <v>0.96296296296296291</v>
      </c>
      <c r="N35" s="356"/>
      <c r="O35" s="331"/>
      <c r="P35" s="331"/>
      <c r="Q35" s="335"/>
      <c r="R35" s="335"/>
      <c r="S35" s="335"/>
      <c r="T35" s="335"/>
      <c r="U35" s="335"/>
      <c r="V35" s="335"/>
      <c r="W35" s="335"/>
      <c r="X35" s="335"/>
      <c r="Y35" s="335"/>
      <c r="Z35" s="335">
        <v>300</v>
      </c>
      <c r="AA35" s="335">
        <f>Z35/400*600</f>
        <v>450</v>
      </c>
    </row>
    <row r="36" spans="1:27" x14ac:dyDescent="0.25">
      <c r="A36" s="128">
        <f t="shared" si="21"/>
        <v>4000</v>
      </c>
      <c r="B36" s="128">
        <f t="shared" si="22"/>
        <v>368</v>
      </c>
      <c r="C36" s="331">
        <v>880</v>
      </c>
      <c r="D36" s="353">
        <v>1</v>
      </c>
      <c r="E36" s="343">
        <f t="shared" si="23"/>
        <v>52.8</v>
      </c>
      <c r="F36" s="354">
        <f t="shared" si="24"/>
        <v>52.57</v>
      </c>
      <c r="G36" s="24">
        <v>60</v>
      </c>
      <c r="H36" s="24">
        <v>75</v>
      </c>
      <c r="I36" s="355">
        <f t="shared" si="25"/>
        <v>75</v>
      </c>
      <c r="J36" s="101">
        <f t="shared" si="26"/>
        <v>24</v>
      </c>
      <c r="K36" s="340">
        <f t="shared" si="27"/>
        <v>0.45454545454545459</v>
      </c>
      <c r="L36" s="348"/>
      <c r="M36" s="341">
        <f>I36/$I$33</f>
        <v>0.92592592592592593</v>
      </c>
      <c r="N36" s="356"/>
      <c r="O36" s="331"/>
      <c r="P36" s="331"/>
      <c r="Q36" s="335"/>
      <c r="R36" s="335"/>
      <c r="S36" s="335"/>
      <c r="T36" s="335"/>
      <c r="U36" s="335"/>
      <c r="V36" s="335"/>
      <c r="W36" s="335"/>
      <c r="X36" s="335"/>
      <c r="Y36" s="335"/>
      <c r="Z36" s="335">
        <v>400</v>
      </c>
      <c r="AA36" s="335">
        <f>Z36/400*600</f>
        <v>600</v>
      </c>
    </row>
    <row r="37" spans="1:27" x14ac:dyDescent="0.25">
      <c r="A37" s="128">
        <f t="shared" si="21"/>
        <v>5000</v>
      </c>
      <c r="B37" s="128">
        <f t="shared" si="22"/>
        <v>368</v>
      </c>
      <c r="C37" s="331">
        <v>1047</v>
      </c>
      <c r="D37" s="353">
        <v>1</v>
      </c>
      <c r="E37" s="343">
        <f t="shared" si="23"/>
        <v>62.82</v>
      </c>
      <c r="F37" s="354">
        <f t="shared" si="24"/>
        <v>62.59</v>
      </c>
      <c r="G37" s="24">
        <v>60</v>
      </c>
      <c r="H37" s="24">
        <v>75</v>
      </c>
      <c r="I37" s="355">
        <f t="shared" si="25"/>
        <v>75</v>
      </c>
      <c r="J37" s="101">
        <f t="shared" si="26"/>
        <v>30</v>
      </c>
      <c r="K37" s="340">
        <f t="shared" si="27"/>
        <v>0.47755491881566381</v>
      </c>
      <c r="L37" s="348"/>
      <c r="M37" s="341">
        <f>I37/$I$33</f>
        <v>0.92592592592592593</v>
      </c>
      <c r="N37" s="356"/>
      <c r="O37" s="331"/>
      <c r="P37" s="331"/>
      <c r="Q37" s="335"/>
      <c r="R37" s="335"/>
      <c r="S37" s="335"/>
      <c r="T37" s="335"/>
      <c r="U37" s="335"/>
      <c r="V37" s="335"/>
      <c r="W37" s="335"/>
      <c r="X37" s="335"/>
      <c r="Y37" s="335"/>
      <c r="Z37" s="335"/>
      <c r="AA37" s="335"/>
    </row>
    <row r="38" spans="1:27" x14ac:dyDescent="0.25">
      <c r="A38" s="128"/>
      <c r="B38" s="128"/>
      <c r="C38" s="331"/>
      <c r="D38" s="331"/>
      <c r="E38" s="343"/>
      <c r="F38" s="354"/>
      <c r="G38" s="24"/>
      <c r="H38" s="24"/>
      <c r="I38" s="355"/>
      <c r="J38" s="101"/>
      <c r="K38" s="348"/>
      <c r="L38" s="348"/>
      <c r="M38" s="341"/>
      <c r="N38" s="356"/>
      <c r="O38" s="331"/>
      <c r="P38" s="331"/>
      <c r="Q38" s="335"/>
      <c r="R38" s="335"/>
      <c r="S38" s="335"/>
      <c r="T38" s="335"/>
      <c r="U38" s="335"/>
      <c r="V38" s="335"/>
      <c r="W38" s="335"/>
      <c r="X38" s="335"/>
      <c r="Y38" s="335"/>
      <c r="Z38" s="335"/>
      <c r="AA38" s="335"/>
    </row>
    <row r="39" spans="1:27" x14ac:dyDescent="0.25">
      <c r="A39" s="128">
        <f t="shared" ref="A39:A44" si="28">Q3</f>
        <v>0</v>
      </c>
      <c r="B39" s="128">
        <f t="shared" ref="B39:B44" si="29">P$7</f>
        <v>484</v>
      </c>
      <c r="C39" s="331">
        <v>500</v>
      </c>
      <c r="D39" s="353">
        <v>1</v>
      </c>
      <c r="E39" s="343">
        <f t="shared" ref="E39:E44" si="30">60/D39*C39/1000</f>
        <v>30</v>
      </c>
      <c r="F39" s="354">
        <f t="shared" ref="F39:F44" si="31">E39-$J$7</f>
        <v>29.77</v>
      </c>
      <c r="G39" s="24">
        <v>60</v>
      </c>
      <c r="H39" s="24">
        <v>115</v>
      </c>
      <c r="I39" s="355">
        <f t="shared" ref="I39:I44" si="32">60*H39/G39</f>
        <v>115</v>
      </c>
      <c r="J39" s="101">
        <f t="shared" ref="J39:J44" si="33">I39/100*A39/100*0.8</f>
        <v>0</v>
      </c>
      <c r="K39" s="340">
        <f t="shared" ref="K39:K44" si="34">J39/E39</f>
        <v>0</v>
      </c>
      <c r="L39" s="348"/>
      <c r="M39" s="341"/>
      <c r="N39" s="356"/>
      <c r="O39" s="331"/>
      <c r="P39" s="331"/>
      <c r="Q39" s="69"/>
      <c r="R39" s="70"/>
      <c r="S39" s="70"/>
      <c r="T39" s="335"/>
      <c r="U39" s="335"/>
      <c r="V39" s="335"/>
      <c r="W39" s="335"/>
      <c r="X39" s="335"/>
      <c r="Y39" s="335"/>
      <c r="Z39" s="335"/>
      <c r="AA39" s="335"/>
    </row>
    <row r="40" spans="1:27" x14ac:dyDescent="0.25">
      <c r="A40" s="128">
        <f t="shared" si="28"/>
        <v>500</v>
      </c>
      <c r="B40" s="128">
        <f t="shared" si="29"/>
        <v>484</v>
      </c>
      <c r="C40" s="331">
        <v>581</v>
      </c>
      <c r="D40" s="353">
        <v>1</v>
      </c>
      <c r="E40" s="343">
        <f t="shared" si="30"/>
        <v>34.86</v>
      </c>
      <c r="F40" s="354">
        <f t="shared" si="31"/>
        <v>34.630000000000003</v>
      </c>
      <c r="G40" s="24">
        <v>60</v>
      </c>
      <c r="H40" s="24">
        <v>110</v>
      </c>
      <c r="I40" s="355">
        <f t="shared" si="32"/>
        <v>110</v>
      </c>
      <c r="J40" s="101">
        <f t="shared" si="33"/>
        <v>4.4000000000000004</v>
      </c>
      <c r="K40" s="340">
        <f t="shared" si="34"/>
        <v>0.1262191623637407</v>
      </c>
      <c r="L40" s="348"/>
      <c r="M40" s="341">
        <f>I40/$I$40</f>
        <v>1</v>
      </c>
      <c r="N40" s="356"/>
      <c r="O40" s="331"/>
      <c r="P40" s="331"/>
      <c r="Q40" s="335"/>
      <c r="R40" s="335"/>
      <c r="S40" s="335"/>
      <c r="T40" s="335"/>
      <c r="U40" s="335"/>
      <c r="V40" s="335"/>
      <c r="W40" s="335"/>
      <c r="X40" s="335"/>
      <c r="Y40" s="335"/>
      <c r="Z40" s="335">
        <v>100</v>
      </c>
      <c r="AA40" s="335">
        <f>Z40/400*600</f>
        <v>150</v>
      </c>
    </row>
    <row r="41" spans="1:27" x14ac:dyDescent="0.25">
      <c r="A41" s="128">
        <f t="shared" si="28"/>
        <v>1000</v>
      </c>
      <c r="B41" s="128">
        <f t="shared" si="29"/>
        <v>484</v>
      </c>
      <c r="C41" s="331">
        <v>660</v>
      </c>
      <c r="D41" s="353">
        <v>1</v>
      </c>
      <c r="E41" s="343">
        <f t="shared" si="30"/>
        <v>39.6</v>
      </c>
      <c r="F41" s="354">
        <f t="shared" si="31"/>
        <v>39.370000000000005</v>
      </c>
      <c r="G41" s="24">
        <v>60</v>
      </c>
      <c r="H41" s="24">
        <v>105</v>
      </c>
      <c r="I41" s="355">
        <f t="shared" si="32"/>
        <v>105</v>
      </c>
      <c r="J41" s="101">
        <f t="shared" si="33"/>
        <v>8.4</v>
      </c>
      <c r="K41" s="340">
        <f t="shared" si="34"/>
        <v>0.21212121212121213</v>
      </c>
      <c r="L41" s="348"/>
      <c r="M41" s="341">
        <f>I41/$I$40</f>
        <v>0.95454545454545459</v>
      </c>
      <c r="N41" s="356"/>
      <c r="O41" s="331"/>
      <c r="P41" s="331"/>
      <c r="Q41" s="335"/>
      <c r="R41" s="335"/>
      <c r="S41" s="335"/>
      <c r="T41" s="335"/>
      <c r="U41" s="335"/>
      <c r="V41" s="335"/>
      <c r="W41" s="335"/>
      <c r="X41" s="335"/>
      <c r="Y41" s="335"/>
      <c r="Z41" s="335">
        <v>200</v>
      </c>
      <c r="AA41" s="335">
        <f>Z41/400*600</f>
        <v>300</v>
      </c>
    </row>
    <row r="42" spans="1:27" x14ac:dyDescent="0.25">
      <c r="A42" s="128">
        <f t="shared" si="28"/>
        <v>3000</v>
      </c>
      <c r="B42" s="128">
        <f t="shared" si="29"/>
        <v>484</v>
      </c>
      <c r="C42" s="331">
        <v>953</v>
      </c>
      <c r="D42" s="353">
        <v>1</v>
      </c>
      <c r="E42" s="343">
        <f t="shared" si="30"/>
        <v>57.18</v>
      </c>
      <c r="F42" s="354">
        <f t="shared" si="31"/>
        <v>56.95</v>
      </c>
      <c r="G42" s="24">
        <v>60</v>
      </c>
      <c r="H42" s="24">
        <v>100</v>
      </c>
      <c r="I42" s="355">
        <f t="shared" si="32"/>
        <v>100</v>
      </c>
      <c r="J42" s="101">
        <f t="shared" si="33"/>
        <v>24</v>
      </c>
      <c r="K42" s="340">
        <f t="shared" si="34"/>
        <v>0.41972717733473242</v>
      </c>
      <c r="L42" s="348"/>
      <c r="M42" s="341">
        <f>I42/$I$40</f>
        <v>0.90909090909090906</v>
      </c>
      <c r="N42" s="356"/>
      <c r="O42" s="331"/>
      <c r="P42" s="331"/>
      <c r="Q42" s="335"/>
      <c r="R42" s="335"/>
      <c r="S42" s="335"/>
      <c r="T42" s="335"/>
      <c r="U42" s="335"/>
      <c r="V42" s="335"/>
      <c r="W42" s="335"/>
      <c r="X42" s="335"/>
      <c r="Y42" s="335"/>
      <c r="Z42" s="335">
        <v>300</v>
      </c>
      <c r="AA42" s="335">
        <f>Z42/400*600</f>
        <v>450</v>
      </c>
    </row>
    <row r="43" spans="1:27" x14ac:dyDescent="0.25">
      <c r="A43" s="128">
        <f t="shared" si="28"/>
        <v>4000</v>
      </c>
      <c r="B43" s="128">
        <f t="shared" si="29"/>
        <v>484</v>
      </c>
      <c r="C43" s="331">
        <v>1105</v>
      </c>
      <c r="D43" s="353">
        <v>1</v>
      </c>
      <c r="E43" s="343">
        <f t="shared" si="30"/>
        <v>66.3</v>
      </c>
      <c r="F43" s="354">
        <f t="shared" si="31"/>
        <v>66.069999999999993</v>
      </c>
      <c r="G43" s="24">
        <v>60</v>
      </c>
      <c r="H43" s="24">
        <v>100</v>
      </c>
      <c r="I43" s="355">
        <f t="shared" si="32"/>
        <v>100</v>
      </c>
      <c r="J43" s="101">
        <f t="shared" si="33"/>
        <v>32</v>
      </c>
      <c r="K43" s="340">
        <f t="shared" si="34"/>
        <v>0.48265460030165913</v>
      </c>
      <c r="L43" s="348"/>
      <c r="M43" s="341">
        <f>I43/$I$40</f>
        <v>0.90909090909090906</v>
      </c>
      <c r="N43" s="356"/>
      <c r="O43" s="331"/>
      <c r="P43" s="331"/>
      <c r="Q43" s="335"/>
      <c r="R43" s="335"/>
      <c r="S43" s="335"/>
      <c r="T43" s="335"/>
      <c r="U43" s="335"/>
      <c r="V43" s="335"/>
      <c r="W43" s="335"/>
      <c r="X43" s="335"/>
      <c r="Y43" s="335"/>
      <c r="Z43" s="335">
        <v>400</v>
      </c>
      <c r="AA43" s="335">
        <f>Z43/400*600</f>
        <v>600</v>
      </c>
    </row>
    <row r="44" spans="1:27" x14ac:dyDescent="0.25">
      <c r="A44" s="128">
        <f t="shared" si="28"/>
        <v>5000</v>
      </c>
      <c r="B44" s="128">
        <f t="shared" si="29"/>
        <v>484</v>
      </c>
      <c r="C44" s="331">
        <v>1306</v>
      </c>
      <c r="D44" s="353">
        <v>1</v>
      </c>
      <c r="E44" s="343">
        <f t="shared" si="30"/>
        <v>78.36</v>
      </c>
      <c r="F44" s="354">
        <f t="shared" si="31"/>
        <v>78.13</v>
      </c>
      <c r="G44" s="24">
        <v>60</v>
      </c>
      <c r="H44" s="24">
        <v>95</v>
      </c>
      <c r="I44" s="355">
        <f t="shared" si="32"/>
        <v>95</v>
      </c>
      <c r="J44" s="101">
        <f t="shared" si="33"/>
        <v>38</v>
      </c>
      <c r="K44" s="340">
        <f t="shared" si="34"/>
        <v>0.48494129657988772</v>
      </c>
      <c r="L44" s="348"/>
      <c r="M44" s="341">
        <f>I44/$I$40</f>
        <v>0.86363636363636365</v>
      </c>
      <c r="N44" s="356"/>
      <c r="O44" s="331"/>
      <c r="P44" s="331"/>
      <c r="Q44" s="335"/>
      <c r="R44" s="335"/>
      <c r="S44" s="335"/>
      <c r="T44" s="335"/>
      <c r="U44" s="335"/>
      <c r="V44" s="335"/>
      <c r="W44" s="335"/>
      <c r="X44" s="335"/>
      <c r="Y44" s="335"/>
      <c r="Z44" s="335"/>
      <c r="AA44" s="335"/>
    </row>
    <row r="45" spans="1:27" x14ac:dyDescent="0.25">
      <c r="A45" s="74"/>
      <c r="B45" s="128"/>
      <c r="C45" s="331"/>
      <c r="D45" s="353"/>
      <c r="E45" s="343"/>
      <c r="F45" s="354"/>
      <c r="G45" s="24"/>
      <c r="H45" s="24"/>
      <c r="I45" s="355"/>
      <c r="J45" s="101"/>
      <c r="K45" s="348"/>
      <c r="L45" s="348"/>
      <c r="M45" s="341"/>
      <c r="N45" s="356"/>
      <c r="O45" s="331"/>
      <c r="P45" s="331"/>
      <c r="Q45" s="335"/>
      <c r="R45" s="335"/>
      <c r="S45" s="335"/>
      <c r="T45" s="335"/>
      <c r="U45" s="335"/>
      <c r="V45" s="335"/>
      <c r="W45" s="335"/>
      <c r="X45" s="335"/>
      <c r="Y45" s="335"/>
      <c r="Z45" s="335"/>
      <c r="AA45" s="335"/>
    </row>
    <row r="46" spans="1:27" x14ac:dyDescent="0.25">
      <c r="A46" s="128">
        <f t="shared" ref="A46:A51" si="35">Q3</f>
        <v>0</v>
      </c>
      <c r="B46" s="128">
        <f t="shared" ref="B46:B51" si="36">P$8</f>
        <v>600</v>
      </c>
      <c r="C46" s="331">
        <v>620</v>
      </c>
      <c r="D46" s="353">
        <v>1</v>
      </c>
      <c r="E46" s="343">
        <f t="shared" ref="E46:E51" si="37">60/D46*C46/1000</f>
        <v>37.200000000000003</v>
      </c>
      <c r="F46" s="354">
        <f t="shared" ref="F46:F51" si="38">E46-$J$7</f>
        <v>36.970000000000006</v>
      </c>
      <c r="G46" s="24">
        <v>60</v>
      </c>
      <c r="H46" s="24">
        <v>135</v>
      </c>
      <c r="I46" s="355">
        <f t="shared" ref="I46:I51" si="39">60*H46/G46</f>
        <v>135</v>
      </c>
      <c r="J46" s="101">
        <f t="shared" ref="J46:J51" si="40">I46/100*A46/100*0.8</f>
        <v>0</v>
      </c>
      <c r="K46" s="340">
        <f t="shared" ref="K46:K51" si="41">J46/E46</f>
        <v>0</v>
      </c>
      <c r="L46" s="348"/>
      <c r="M46" s="341"/>
      <c r="N46" s="356"/>
      <c r="O46" s="331"/>
      <c r="P46" s="331"/>
      <c r="Q46" s="69"/>
      <c r="R46" s="70"/>
      <c r="S46" s="70"/>
      <c r="T46" s="335"/>
      <c r="U46" s="335"/>
      <c r="V46" s="335"/>
      <c r="W46" s="335"/>
      <c r="X46" s="335"/>
      <c r="Y46" s="335"/>
      <c r="Z46" s="335"/>
      <c r="AA46" s="335"/>
    </row>
    <row r="47" spans="1:27" x14ac:dyDescent="0.25">
      <c r="A47" s="128">
        <f t="shared" si="35"/>
        <v>500</v>
      </c>
      <c r="B47" s="128">
        <f t="shared" si="36"/>
        <v>600</v>
      </c>
      <c r="C47" s="331">
        <v>710</v>
      </c>
      <c r="D47" s="353">
        <v>1</v>
      </c>
      <c r="E47" s="343">
        <f t="shared" si="37"/>
        <v>42.6</v>
      </c>
      <c r="F47" s="354">
        <f t="shared" si="38"/>
        <v>42.370000000000005</v>
      </c>
      <c r="G47" s="24">
        <v>60</v>
      </c>
      <c r="H47" s="24">
        <v>130</v>
      </c>
      <c r="I47" s="355">
        <f t="shared" si="39"/>
        <v>130</v>
      </c>
      <c r="J47" s="101">
        <f t="shared" si="40"/>
        <v>5.2</v>
      </c>
      <c r="K47" s="340">
        <f t="shared" si="41"/>
        <v>0.12206572769953052</v>
      </c>
      <c r="L47" s="348"/>
      <c r="M47" s="341">
        <f>I47/$I$47</f>
        <v>1</v>
      </c>
      <c r="N47" s="356"/>
      <c r="O47" s="331"/>
      <c r="P47" s="331"/>
      <c r="Q47" s="335"/>
      <c r="R47" s="70"/>
      <c r="S47" s="335"/>
      <c r="T47" s="335"/>
      <c r="U47" s="335"/>
      <c r="V47" s="335"/>
      <c r="W47" s="335"/>
      <c r="X47" s="335"/>
      <c r="Y47" s="335"/>
      <c r="Z47" s="335">
        <v>100</v>
      </c>
      <c r="AA47" s="335">
        <f>Z47/400*600</f>
        <v>150</v>
      </c>
    </row>
    <row r="48" spans="1:27" x14ac:dyDescent="0.25">
      <c r="A48" s="128">
        <f t="shared" si="35"/>
        <v>1000</v>
      </c>
      <c r="B48" s="128">
        <f t="shared" si="36"/>
        <v>600</v>
      </c>
      <c r="C48" s="331">
        <v>809</v>
      </c>
      <c r="D48" s="353">
        <v>1</v>
      </c>
      <c r="E48" s="343">
        <f t="shared" si="37"/>
        <v>48.54</v>
      </c>
      <c r="F48" s="354">
        <f t="shared" si="38"/>
        <v>48.31</v>
      </c>
      <c r="G48" s="24">
        <v>60</v>
      </c>
      <c r="H48" s="24">
        <v>130</v>
      </c>
      <c r="I48" s="355">
        <f t="shared" si="39"/>
        <v>130</v>
      </c>
      <c r="J48" s="101">
        <f t="shared" si="40"/>
        <v>10.4</v>
      </c>
      <c r="K48" s="340">
        <f t="shared" si="41"/>
        <v>0.2142562834775443</v>
      </c>
      <c r="L48" s="348"/>
      <c r="M48" s="341">
        <f>I48/$I$47</f>
        <v>1</v>
      </c>
      <c r="N48" s="356"/>
      <c r="O48" s="331"/>
      <c r="P48" s="331"/>
      <c r="Q48" s="335"/>
      <c r="R48" s="70"/>
      <c r="S48" s="335"/>
      <c r="T48" s="335"/>
      <c r="U48" s="335"/>
      <c r="V48" s="335"/>
      <c r="W48" s="335"/>
      <c r="X48" s="335"/>
      <c r="Y48" s="335"/>
      <c r="Z48" s="335">
        <v>200</v>
      </c>
      <c r="AA48" s="335">
        <f>Z48/400*600</f>
        <v>300</v>
      </c>
    </row>
    <row r="49" spans="1:27" x14ac:dyDescent="0.25">
      <c r="A49" s="128">
        <f t="shared" si="35"/>
        <v>3000</v>
      </c>
      <c r="B49" s="128">
        <f t="shared" si="36"/>
        <v>600</v>
      </c>
      <c r="C49" s="331">
        <v>1195</v>
      </c>
      <c r="D49" s="353">
        <v>1</v>
      </c>
      <c r="E49" s="343">
        <f t="shared" si="37"/>
        <v>71.7</v>
      </c>
      <c r="F49" s="354">
        <f t="shared" si="38"/>
        <v>71.47</v>
      </c>
      <c r="G49" s="24">
        <v>60</v>
      </c>
      <c r="H49" s="24">
        <v>125</v>
      </c>
      <c r="I49" s="355">
        <f t="shared" si="39"/>
        <v>125</v>
      </c>
      <c r="J49" s="101">
        <f t="shared" si="40"/>
        <v>30</v>
      </c>
      <c r="K49" s="340">
        <f t="shared" si="41"/>
        <v>0.41841004184100417</v>
      </c>
      <c r="L49" s="348"/>
      <c r="M49" s="341">
        <f>I49/$I$47</f>
        <v>0.96153846153846156</v>
      </c>
      <c r="N49" s="356"/>
      <c r="O49" s="331"/>
      <c r="P49" s="331"/>
      <c r="Q49" s="335"/>
      <c r="R49" s="70"/>
      <c r="S49" s="335"/>
      <c r="T49" s="335"/>
      <c r="U49" s="335"/>
      <c r="V49" s="335"/>
      <c r="W49" s="335"/>
      <c r="X49" s="335"/>
      <c r="Y49" s="335"/>
      <c r="Z49" s="335">
        <v>300</v>
      </c>
      <c r="AA49" s="335">
        <f>Z49/400*600</f>
        <v>450</v>
      </c>
    </row>
    <row r="50" spans="1:27" x14ac:dyDescent="0.25">
      <c r="A50" s="128">
        <f t="shared" si="35"/>
        <v>4000</v>
      </c>
      <c r="B50" s="128">
        <f t="shared" si="36"/>
        <v>600</v>
      </c>
      <c r="C50" s="331">
        <v>1363</v>
      </c>
      <c r="D50" s="353">
        <v>1</v>
      </c>
      <c r="E50" s="343">
        <f t="shared" si="37"/>
        <v>81.78</v>
      </c>
      <c r="F50" s="354">
        <f t="shared" si="38"/>
        <v>81.55</v>
      </c>
      <c r="G50" s="24">
        <v>60</v>
      </c>
      <c r="H50" s="24">
        <v>125</v>
      </c>
      <c r="I50" s="355">
        <f t="shared" si="39"/>
        <v>125</v>
      </c>
      <c r="J50" s="101">
        <f t="shared" si="40"/>
        <v>40</v>
      </c>
      <c r="K50" s="340">
        <f t="shared" si="41"/>
        <v>0.48911714355588165</v>
      </c>
      <c r="L50" s="348"/>
      <c r="M50" s="341">
        <f>I50/$I$47</f>
        <v>0.96153846153846156</v>
      </c>
      <c r="N50" s="356"/>
      <c r="O50" s="331"/>
      <c r="P50" s="331"/>
      <c r="Q50" s="335"/>
      <c r="R50" s="70"/>
      <c r="S50" s="335"/>
      <c r="T50" s="335"/>
      <c r="U50" s="335"/>
      <c r="V50" s="335"/>
      <c r="W50" s="335"/>
      <c r="X50" s="335"/>
      <c r="Y50" s="335"/>
      <c r="Z50" s="335">
        <v>400</v>
      </c>
      <c r="AA50" s="335">
        <f>Z50/400*600</f>
        <v>600</v>
      </c>
    </row>
    <row r="51" spans="1:27" x14ac:dyDescent="0.25">
      <c r="A51" s="128">
        <f t="shared" si="35"/>
        <v>5000</v>
      </c>
      <c r="B51" s="128">
        <f t="shared" si="36"/>
        <v>600</v>
      </c>
      <c r="C51" s="331">
        <v>1453</v>
      </c>
      <c r="D51" s="353">
        <v>1</v>
      </c>
      <c r="E51" s="343">
        <f t="shared" si="37"/>
        <v>87.18</v>
      </c>
      <c r="F51" s="354">
        <f t="shared" si="38"/>
        <v>86.95</v>
      </c>
      <c r="G51" s="24">
        <v>60</v>
      </c>
      <c r="H51" s="24">
        <v>110</v>
      </c>
      <c r="I51" s="355">
        <f t="shared" si="39"/>
        <v>110</v>
      </c>
      <c r="J51" s="101">
        <f t="shared" si="40"/>
        <v>44</v>
      </c>
      <c r="K51" s="340">
        <f t="shared" si="41"/>
        <v>0.50470291351227337</v>
      </c>
      <c r="L51" s="348"/>
      <c r="M51" s="341">
        <f>I51/$I$47</f>
        <v>0.84615384615384615</v>
      </c>
      <c r="N51" s="356"/>
      <c r="O51" s="331"/>
      <c r="P51" s="331"/>
      <c r="Q51" s="335"/>
      <c r="R51" s="70"/>
      <c r="S51" s="335"/>
      <c r="T51" s="335"/>
      <c r="U51" s="335"/>
      <c r="V51" s="335"/>
      <c r="W51" s="335"/>
      <c r="X51" s="335"/>
      <c r="Y51" s="335"/>
      <c r="Z51" s="335"/>
      <c r="AA51" s="335"/>
    </row>
    <row r="52" spans="1:27" x14ac:dyDescent="0.25">
      <c r="A52" s="331"/>
      <c r="B52" s="128"/>
      <c r="C52" s="348"/>
      <c r="D52" s="348"/>
      <c r="E52" s="348"/>
      <c r="F52" s="344"/>
      <c r="G52" s="348"/>
      <c r="H52" s="331"/>
      <c r="I52" s="357"/>
      <c r="J52" s="71"/>
      <c r="K52" s="348"/>
      <c r="L52" s="348"/>
      <c r="M52" s="341"/>
      <c r="N52" s="356"/>
      <c r="O52" s="331"/>
      <c r="P52" s="331"/>
      <c r="Q52" s="335"/>
      <c r="R52" s="335"/>
      <c r="S52" s="335"/>
      <c r="T52" s="335"/>
      <c r="U52" s="335"/>
      <c r="V52" s="335"/>
      <c r="W52" s="335"/>
      <c r="X52" s="335"/>
      <c r="Y52" s="335"/>
      <c r="Z52" s="335"/>
      <c r="AA52" s="335"/>
    </row>
    <row r="53" spans="1:27" x14ac:dyDescent="0.25">
      <c r="A53" s="331"/>
      <c r="B53" s="74"/>
      <c r="C53" s="348"/>
      <c r="D53" s="348"/>
      <c r="E53" s="348"/>
      <c r="F53" s="348"/>
      <c r="G53" s="348"/>
      <c r="H53" s="331"/>
      <c r="I53" s="357"/>
      <c r="J53" s="71"/>
      <c r="K53" s="348"/>
      <c r="L53" s="348"/>
      <c r="M53" s="341"/>
      <c r="N53" s="356"/>
      <c r="O53" s="331"/>
      <c r="P53" s="331"/>
      <c r="Q53" s="335"/>
      <c r="R53" s="335"/>
      <c r="S53" s="335"/>
      <c r="T53" s="335"/>
      <c r="U53" s="335"/>
      <c r="V53" s="335"/>
      <c r="W53" s="335"/>
      <c r="X53" s="335"/>
      <c r="Y53" s="335"/>
      <c r="Z53" s="335"/>
      <c r="AA53" s="335"/>
    </row>
    <row r="54" spans="1:27" x14ac:dyDescent="0.25">
      <c r="A54" s="331"/>
      <c r="B54" s="128"/>
      <c r="C54" s="348"/>
      <c r="D54" s="348"/>
      <c r="E54" s="348"/>
      <c r="F54" s="348"/>
      <c r="G54" s="348"/>
      <c r="H54" s="331"/>
      <c r="I54" s="357"/>
      <c r="J54" s="71"/>
      <c r="K54" s="348"/>
      <c r="L54" s="348"/>
      <c r="M54" s="341"/>
      <c r="N54" s="356"/>
      <c r="O54" s="331"/>
      <c r="P54" s="331"/>
      <c r="Q54" s="335"/>
      <c r="R54" s="335"/>
      <c r="S54" s="335"/>
      <c r="T54" s="335"/>
      <c r="U54" s="335"/>
      <c r="V54" s="335"/>
      <c r="W54" s="335"/>
      <c r="X54" s="335"/>
      <c r="Y54" s="335"/>
      <c r="Z54" s="335"/>
      <c r="AA54" s="335"/>
    </row>
    <row r="55" spans="1:27" x14ac:dyDescent="0.25">
      <c r="A55" s="47"/>
      <c r="B55" s="128"/>
      <c r="C55" s="348"/>
      <c r="D55" s="348"/>
      <c r="E55" s="348"/>
      <c r="F55" s="348"/>
      <c r="G55" s="348"/>
      <c r="H55" s="331"/>
      <c r="I55" s="357"/>
      <c r="J55" s="71"/>
      <c r="K55" s="348"/>
      <c r="L55" s="348"/>
      <c r="M55" s="341"/>
      <c r="N55" s="356"/>
      <c r="O55" s="331"/>
      <c r="P55" s="331"/>
      <c r="Q55" s="335"/>
      <c r="R55" s="335"/>
      <c r="S55" s="335"/>
      <c r="T55" s="335"/>
      <c r="U55" s="335"/>
      <c r="V55" s="335"/>
      <c r="W55" s="335"/>
      <c r="X55" s="335"/>
      <c r="Y55" s="335"/>
      <c r="Z55" s="335"/>
      <c r="AA55" s="335"/>
    </row>
    <row r="56" spans="1:27" x14ac:dyDescent="0.25">
      <c r="A56" s="71"/>
      <c r="B56" s="74"/>
      <c r="C56" s="348"/>
      <c r="D56" s="348"/>
      <c r="E56" s="348"/>
      <c r="F56" s="348"/>
      <c r="G56" s="348"/>
      <c r="H56" s="331"/>
      <c r="I56" s="357"/>
      <c r="J56" s="71"/>
      <c r="K56" s="348"/>
      <c r="L56" s="348"/>
      <c r="M56" s="341"/>
      <c r="N56" s="356"/>
      <c r="O56" s="331"/>
      <c r="P56" s="331"/>
      <c r="Q56" s="335"/>
      <c r="R56" s="335"/>
      <c r="S56" s="335"/>
      <c r="T56" s="335"/>
      <c r="U56" s="335"/>
      <c r="V56" s="335"/>
      <c r="W56" s="335"/>
      <c r="X56" s="335"/>
      <c r="Y56" s="335"/>
      <c r="Z56" s="335"/>
      <c r="AA56" s="335"/>
    </row>
    <row r="57" spans="1:27" x14ac:dyDescent="0.25">
      <c r="A57" s="47"/>
      <c r="B57" s="128"/>
      <c r="C57" s="348"/>
      <c r="D57" s="348"/>
      <c r="E57" s="348"/>
      <c r="F57" s="348"/>
      <c r="G57" s="348"/>
      <c r="H57" s="331"/>
      <c r="I57" s="331"/>
      <c r="J57" s="47"/>
      <c r="K57" s="348"/>
      <c r="L57" s="348"/>
      <c r="M57" s="341"/>
      <c r="N57" s="356"/>
      <c r="O57" s="331"/>
      <c r="P57" s="331"/>
      <c r="Q57" s="335"/>
      <c r="R57" s="335"/>
      <c r="S57" s="335"/>
      <c r="T57" s="335"/>
      <c r="U57" s="335"/>
      <c r="V57" s="335"/>
      <c r="W57" s="335"/>
      <c r="X57" s="335"/>
      <c r="Y57" s="335"/>
      <c r="Z57" s="335"/>
      <c r="AA57" s="335"/>
    </row>
    <row r="58" spans="1:27" x14ac:dyDescent="0.25">
      <c r="A58" s="47"/>
      <c r="B58" s="128"/>
      <c r="C58" s="348"/>
      <c r="D58" s="348"/>
      <c r="E58" s="348"/>
      <c r="F58" s="348"/>
      <c r="G58" s="340"/>
      <c r="H58" s="331"/>
      <c r="I58" s="331"/>
      <c r="J58" s="47"/>
      <c r="K58" s="348"/>
      <c r="L58" s="348"/>
      <c r="M58" s="341"/>
      <c r="N58" s="356"/>
      <c r="O58" s="331"/>
      <c r="P58" s="331"/>
      <c r="Q58" s="335"/>
      <c r="R58" s="335"/>
      <c r="S58" s="335"/>
      <c r="T58" s="335"/>
      <c r="U58" s="335"/>
      <c r="V58" s="335"/>
      <c r="W58" s="335"/>
      <c r="X58" s="335"/>
      <c r="Y58" s="335"/>
      <c r="Z58" s="335"/>
      <c r="AA58" s="335"/>
    </row>
    <row r="59" spans="1:27" x14ac:dyDescent="0.25">
      <c r="A59" s="47"/>
      <c r="B59" s="128"/>
      <c r="C59" s="348"/>
      <c r="D59" s="348"/>
      <c r="E59" s="348"/>
      <c r="F59" s="348"/>
      <c r="G59" s="348"/>
      <c r="H59" s="331"/>
      <c r="I59" s="331"/>
      <c r="J59" s="47"/>
      <c r="K59" s="348"/>
      <c r="L59" s="348"/>
      <c r="M59" s="341"/>
      <c r="N59" s="356"/>
      <c r="O59" s="331"/>
      <c r="P59" s="331"/>
      <c r="Q59" s="335"/>
      <c r="R59" s="335"/>
      <c r="S59" s="335"/>
      <c r="T59" s="335"/>
      <c r="U59" s="335"/>
      <c r="V59" s="335"/>
      <c r="W59" s="335"/>
      <c r="X59" s="335"/>
      <c r="Y59" s="335"/>
      <c r="Z59" s="335"/>
      <c r="AA59" s="335"/>
    </row>
    <row r="60" spans="1:27" x14ac:dyDescent="0.25">
      <c r="A60" s="47"/>
      <c r="B60" s="128"/>
      <c r="C60" s="348"/>
      <c r="D60" s="348"/>
      <c r="E60" s="348"/>
      <c r="F60" s="348"/>
      <c r="G60" s="348"/>
      <c r="H60" s="331"/>
      <c r="I60" s="331"/>
      <c r="J60" s="47"/>
      <c r="K60" s="348"/>
      <c r="L60" s="348"/>
      <c r="M60" s="341"/>
      <c r="N60" s="356"/>
      <c r="O60" s="331"/>
      <c r="P60" s="331"/>
      <c r="Q60" s="335"/>
      <c r="R60" s="335"/>
      <c r="S60" s="335"/>
      <c r="T60" s="335"/>
      <c r="U60" s="335"/>
      <c r="V60" s="335"/>
      <c r="W60" s="335"/>
      <c r="X60" s="335"/>
      <c r="Y60" s="335"/>
      <c r="Z60" s="335"/>
      <c r="AA60" s="335"/>
    </row>
    <row r="61" spans="1:27" x14ac:dyDescent="0.25">
      <c r="A61" s="47"/>
      <c r="B61" s="128"/>
      <c r="C61" s="348"/>
      <c r="D61" s="348"/>
      <c r="E61" s="348"/>
      <c r="F61" s="348"/>
      <c r="G61" s="348"/>
      <c r="H61" s="331"/>
      <c r="I61" s="331"/>
      <c r="J61" s="47"/>
      <c r="K61" s="348"/>
      <c r="L61" s="348"/>
      <c r="M61" s="341"/>
      <c r="N61" s="356"/>
      <c r="O61" s="331"/>
      <c r="P61" s="331"/>
      <c r="Q61" s="335"/>
      <c r="R61" s="335"/>
      <c r="S61" s="335"/>
      <c r="T61" s="335"/>
      <c r="U61" s="335"/>
      <c r="V61" s="335"/>
      <c r="W61" s="335"/>
      <c r="X61" s="335"/>
      <c r="Y61" s="335"/>
      <c r="Z61" s="335"/>
      <c r="AA61" s="335"/>
    </row>
    <row r="63" spans="1:27" x14ac:dyDescent="0.25">
      <c r="A63" s="335"/>
      <c r="B63" s="351"/>
      <c r="C63" s="335"/>
      <c r="D63" s="335"/>
      <c r="E63" s="335"/>
      <c r="F63" s="335"/>
      <c r="G63" s="335"/>
      <c r="H63" s="335"/>
      <c r="I63" s="335"/>
      <c r="J63" s="335"/>
      <c r="K63" s="335"/>
      <c r="L63" s="80" t="s">
        <v>18</v>
      </c>
      <c r="M63" s="332"/>
      <c r="N63" s="335" t="s">
        <v>345</v>
      </c>
      <c r="O63" s="335"/>
      <c r="P63" s="335"/>
      <c r="Q63" s="335"/>
      <c r="R63" s="335"/>
      <c r="S63" s="335"/>
      <c r="T63" s="335"/>
      <c r="U63" s="335"/>
      <c r="V63" s="335"/>
      <c r="W63" s="335"/>
      <c r="X63" s="335"/>
      <c r="Y63" s="335"/>
      <c r="Z63" s="335"/>
      <c r="AA63" s="335"/>
    </row>
    <row r="64" spans="1:27" x14ac:dyDescent="0.25">
      <c r="A64" s="335"/>
      <c r="B64" s="351"/>
      <c r="C64" s="335"/>
      <c r="D64" s="335"/>
      <c r="E64" s="335"/>
      <c r="F64" s="335"/>
      <c r="G64" s="335"/>
      <c r="H64" s="335"/>
      <c r="I64" s="335"/>
      <c r="J64" s="335"/>
      <c r="K64" s="79" t="s">
        <v>205</v>
      </c>
      <c r="L64" s="81">
        <f>B11</f>
        <v>20</v>
      </c>
      <c r="M64" s="80">
        <f>B18</f>
        <v>136</v>
      </c>
      <c r="N64" s="80">
        <f>B25</f>
        <v>252</v>
      </c>
      <c r="O64" s="80">
        <f>B32</f>
        <v>368</v>
      </c>
      <c r="P64" s="80">
        <f>B39</f>
        <v>484</v>
      </c>
      <c r="Q64" s="80">
        <f>B46</f>
        <v>600</v>
      </c>
      <c r="R64" s="335"/>
      <c r="S64" s="335"/>
      <c r="T64" s="335"/>
      <c r="U64" s="335"/>
      <c r="V64" s="335"/>
      <c r="W64" s="335"/>
      <c r="X64" s="335"/>
      <c r="Y64" s="335"/>
      <c r="Z64" s="335"/>
      <c r="AA64" s="335"/>
    </row>
    <row r="65" spans="1:18" x14ac:dyDescent="0.25">
      <c r="A65" s="335"/>
      <c r="B65" s="351"/>
      <c r="C65" s="335"/>
      <c r="D65" s="335"/>
      <c r="E65" s="335"/>
      <c r="F65" s="335"/>
      <c r="G65" s="335"/>
      <c r="H65" s="335"/>
      <c r="I65" s="335"/>
      <c r="J65" s="335"/>
      <c r="K65" s="82">
        <f t="shared" ref="K65:K70" si="42">Q3</f>
        <v>0</v>
      </c>
      <c r="L65" s="344">
        <f t="shared" ref="L65:L70" si="43">I11</f>
        <v>5.5</v>
      </c>
      <c r="M65" s="358">
        <f t="shared" ref="M65:M70" si="44">I18</f>
        <v>34</v>
      </c>
      <c r="N65" s="358">
        <f t="shared" ref="N65:N70" si="45">I25</f>
        <v>57</v>
      </c>
      <c r="O65" s="358">
        <f t="shared" ref="O65:O70" si="46">I32</f>
        <v>83</v>
      </c>
      <c r="P65" s="358">
        <f t="shared" ref="P65:P70" si="47">I39</f>
        <v>115</v>
      </c>
      <c r="Q65" s="358">
        <f t="shared" ref="Q65:Q70" si="48">I46</f>
        <v>135</v>
      </c>
      <c r="R65" s="335"/>
    </row>
    <row r="66" spans="1:18" x14ac:dyDescent="0.25">
      <c r="A66" s="335"/>
      <c r="B66" s="351"/>
      <c r="C66" s="335"/>
      <c r="D66" s="335"/>
      <c r="E66" s="335"/>
      <c r="F66" s="335"/>
      <c r="G66" s="335"/>
      <c r="H66" s="335"/>
      <c r="I66" s="335"/>
      <c r="J66" s="335"/>
      <c r="K66" s="82">
        <f t="shared" si="42"/>
        <v>500</v>
      </c>
      <c r="L66" s="344">
        <f t="shared" si="43"/>
        <v>5.5</v>
      </c>
      <c r="M66" s="358">
        <f t="shared" si="44"/>
        <v>32</v>
      </c>
      <c r="N66" s="358">
        <f t="shared" si="45"/>
        <v>55</v>
      </c>
      <c r="O66" s="358">
        <f t="shared" si="46"/>
        <v>81</v>
      </c>
      <c r="P66" s="358">
        <f t="shared" si="47"/>
        <v>110</v>
      </c>
      <c r="Q66" s="358">
        <f t="shared" si="48"/>
        <v>130</v>
      </c>
      <c r="R66" s="335"/>
    </row>
    <row r="67" spans="1:18" x14ac:dyDescent="0.25">
      <c r="A67" s="335"/>
      <c r="B67" s="351"/>
      <c r="C67" s="335"/>
      <c r="D67" s="335"/>
      <c r="E67" s="335"/>
      <c r="F67" s="335"/>
      <c r="G67" s="335"/>
      <c r="H67" s="335"/>
      <c r="I67" s="335"/>
      <c r="J67" s="335"/>
      <c r="K67" s="82">
        <f t="shared" si="42"/>
        <v>1000</v>
      </c>
      <c r="L67" s="344">
        <f t="shared" si="43"/>
        <v>5</v>
      </c>
      <c r="M67" s="358">
        <f t="shared" si="44"/>
        <v>31</v>
      </c>
      <c r="N67" s="358">
        <f t="shared" si="45"/>
        <v>55</v>
      </c>
      <c r="O67" s="358">
        <f t="shared" si="46"/>
        <v>80</v>
      </c>
      <c r="P67" s="358">
        <f t="shared" si="47"/>
        <v>105</v>
      </c>
      <c r="Q67" s="358">
        <f t="shared" si="48"/>
        <v>130</v>
      </c>
      <c r="R67" s="335"/>
    </row>
    <row r="68" spans="1:18" x14ac:dyDescent="0.25">
      <c r="A68" s="335"/>
      <c r="B68" s="351"/>
      <c r="C68" s="335"/>
      <c r="D68" s="335"/>
      <c r="E68" s="335"/>
      <c r="F68" s="335"/>
      <c r="G68" s="335"/>
      <c r="H68" s="335"/>
      <c r="I68" s="335"/>
      <c r="J68" s="335"/>
      <c r="K68" s="82">
        <f t="shared" si="42"/>
        <v>3000</v>
      </c>
      <c r="L68" s="344">
        <f t="shared" si="43"/>
        <v>4.5</v>
      </c>
      <c r="M68" s="358">
        <f t="shared" si="44"/>
        <v>29</v>
      </c>
      <c r="N68" s="358">
        <f t="shared" si="45"/>
        <v>53</v>
      </c>
      <c r="O68" s="358">
        <f t="shared" si="46"/>
        <v>78</v>
      </c>
      <c r="P68" s="358">
        <f t="shared" si="47"/>
        <v>100</v>
      </c>
      <c r="Q68" s="358">
        <f t="shared" si="48"/>
        <v>125</v>
      </c>
      <c r="R68" s="335"/>
    </row>
    <row r="69" spans="1:18" x14ac:dyDescent="0.25">
      <c r="A69" s="335"/>
      <c r="B69" s="351"/>
      <c r="C69" s="335"/>
      <c r="D69" s="335"/>
      <c r="E69" s="335"/>
      <c r="F69" s="335"/>
      <c r="G69" s="335"/>
      <c r="H69" s="335"/>
      <c r="I69" s="335"/>
      <c r="J69" s="335"/>
      <c r="K69" s="82">
        <f t="shared" si="42"/>
        <v>4000</v>
      </c>
      <c r="L69" s="344">
        <f t="shared" si="43"/>
        <v>4.5</v>
      </c>
      <c r="M69" s="358">
        <f t="shared" si="44"/>
        <v>28</v>
      </c>
      <c r="N69" s="358">
        <f t="shared" si="45"/>
        <v>52</v>
      </c>
      <c r="O69" s="358">
        <f t="shared" si="46"/>
        <v>75</v>
      </c>
      <c r="P69" s="358">
        <f t="shared" si="47"/>
        <v>100</v>
      </c>
      <c r="Q69" s="358">
        <f t="shared" si="48"/>
        <v>125</v>
      </c>
      <c r="R69" s="335"/>
    </row>
    <row r="70" spans="1:18" x14ac:dyDescent="0.25">
      <c r="A70" s="335"/>
      <c r="B70" s="351"/>
      <c r="C70" s="335"/>
      <c r="D70" s="335"/>
      <c r="E70" s="335"/>
      <c r="F70" s="335"/>
      <c r="G70" s="335"/>
      <c r="H70" s="335"/>
      <c r="I70" s="335"/>
      <c r="J70" s="335"/>
      <c r="K70" s="82">
        <f t="shared" si="42"/>
        <v>5000</v>
      </c>
      <c r="L70" s="344">
        <f t="shared" si="43"/>
        <v>4</v>
      </c>
      <c r="M70" s="358">
        <f t="shared" si="44"/>
        <v>27</v>
      </c>
      <c r="N70" s="358">
        <f t="shared" si="45"/>
        <v>50</v>
      </c>
      <c r="O70" s="358">
        <f t="shared" si="46"/>
        <v>75</v>
      </c>
      <c r="P70" s="358">
        <f t="shared" si="47"/>
        <v>95</v>
      </c>
      <c r="Q70" s="358">
        <f t="shared" si="48"/>
        <v>110</v>
      </c>
      <c r="R70" s="335"/>
    </row>
    <row r="71" spans="1:18" x14ac:dyDescent="0.25">
      <c r="A71" s="335"/>
      <c r="B71" s="351"/>
      <c r="C71" s="335"/>
      <c r="D71" s="335"/>
      <c r="E71" s="335"/>
      <c r="F71" s="335"/>
      <c r="G71" s="335"/>
      <c r="H71" s="335"/>
      <c r="I71" s="335"/>
      <c r="J71" s="335"/>
      <c r="K71" s="83"/>
      <c r="L71" s="335"/>
      <c r="M71" s="332"/>
      <c r="N71" s="335"/>
      <c r="O71" s="335"/>
      <c r="P71" s="335"/>
      <c r="Q71" s="335"/>
      <c r="R71" s="335"/>
    </row>
    <row r="72" spans="1:18" x14ac:dyDescent="0.25">
      <c r="A72" s="335"/>
      <c r="B72" s="351"/>
      <c r="C72" s="335"/>
      <c r="D72" s="335"/>
      <c r="E72" s="335"/>
      <c r="F72" s="335"/>
      <c r="G72" s="335"/>
      <c r="H72" s="335"/>
      <c r="I72" s="335"/>
      <c r="J72" s="335"/>
      <c r="K72" s="335">
        <f>B80</f>
        <v>40</v>
      </c>
      <c r="L72" s="335">
        <f t="shared" ref="L72:Q72" si="49">_xlfn.FORECAST.LINEAR($B$80,L65:L70,$K$65:$K$70)</f>
        <v>5.4685429141716568</v>
      </c>
      <c r="M72" s="335">
        <f t="shared" si="49"/>
        <v>32.945708582834328</v>
      </c>
      <c r="N72" s="335">
        <f t="shared" si="49"/>
        <v>56.313373253493012</v>
      </c>
      <c r="O72" s="335">
        <f t="shared" si="49"/>
        <v>82.107385229540924</v>
      </c>
      <c r="P72" s="335">
        <f t="shared" si="49"/>
        <v>111.70978043912177</v>
      </c>
      <c r="Q72" s="335">
        <f t="shared" si="49"/>
        <v>134.17045908183633</v>
      </c>
      <c r="R72" s="335" t="s">
        <v>28</v>
      </c>
    </row>
    <row r="73" spans="1:18" x14ac:dyDescent="0.25">
      <c r="A73" s="335"/>
      <c r="B73" s="351"/>
      <c r="C73" s="335"/>
      <c r="D73" s="335"/>
      <c r="E73" s="335"/>
      <c r="F73" s="335"/>
      <c r="G73" s="335"/>
      <c r="H73" s="335"/>
      <c r="I73" s="335"/>
      <c r="J73" s="335" t="s">
        <v>28</v>
      </c>
      <c r="K73" s="359">
        <f>B79</f>
        <v>100</v>
      </c>
      <c r="L73" s="360">
        <f>_xlfn.FORECAST.LINEAR(K73,L64:Q64,L72:Q72)</f>
        <v>442.33496618102913</v>
      </c>
      <c r="M73" s="332" t="s">
        <v>18</v>
      </c>
      <c r="N73" s="335"/>
      <c r="O73" s="335"/>
      <c r="P73" s="335"/>
      <c r="Q73" s="335"/>
      <c r="R73" s="335"/>
    </row>
    <row r="77" spans="1:18" x14ac:dyDescent="0.25">
      <c r="A77" s="49" t="s">
        <v>346</v>
      </c>
      <c r="B77" s="361">
        <v>1230</v>
      </c>
      <c r="C77" s="335" t="s">
        <v>28</v>
      </c>
      <c r="D77" s="335"/>
      <c r="E77" s="335"/>
      <c r="F77" s="335"/>
      <c r="G77" s="335"/>
      <c r="H77" s="335"/>
      <c r="I77" s="335"/>
      <c r="J77" s="335"/>
      <c r="K77" s="335"/>
      <c r="L77" s="335"/>
      <c r="M77" s="332"/>
      <c r="N77" s="335"/>
      <c r="O77" s="335"/>
      <c r="P77" s="335"/>
      <c r="Q77" s="335"/>
      <c r="R77" s="335"/>
    </row>
    <row r="78" spans="1:18" x14ac:dyDescent="0.25">
      <c r="A78" s="335"/>
      <c r="B78" s="351">
        <v>600</v>
      </c>
      <c r="C78" s="335" t="s">
        <v>18</v>
      </c>
      <c r="D78" s="335"/>
      <c r="E78" s="335"/>
      <c r="F78" s="335"/>
      <c r="G78" s="335"/>
      <c r="H78" s="335"/>
      <c r="I78" s="335"/>
      <c r="J78" s="335"/>
      <c r="K78" s="335"/>
      <c r="L78" s="335"/>
      <c r="M78" s="332"/>
      <c r="N78" s="335"/>
      <c r="O78" s="335"/>
      <c r="P78" s="335"/>
      <c r="Q78" s="335"/>
      <c r="R78" s="335"/>
    </row>
    <row r="79" spans="1:18" x14ac:dyDescent="0.25">
      <c r="A79" s="335" t="s">
        <v>349</v>
      </c>
      <c r="B79" s="361">
        <f>Q</f>
        <v>100</v>
      </c>
      <c r="C79" s="335" t="s">
        <v>28</v>
      </c>
      <c r="D79" s="335"/>
      <c r="E79" s="335"/>
      <c r="F79" s="335"/>
      <c r="G79" s="335"/>
      <c r="H79" s="335"/>
      <c r="I79" s="335"/>
      <c r="J79" s="335"/>
      <c r="K79" s="335"/>
      <c r="L79" s="335"/>
      <c r="M79" s="332"/>
      <c r="N79" s="335"/>
      <c r="O79" s="335"/>
      <c r="P79" s="335"/>
      <c r="Q79" s="335"/>
      <c r="R79" s="335"/>
    </row>
    <row r="80" spans="1:18" x14ac:dyDescent="0.25">
      <c r="A80" s="335" t="s">
        <v>350</v>
      </c>
      <c r="B80" s="361">
        <f>Pavg</f>
        <v>40</v>
      </c>
      <c r="C80" s="335">
        <v>5000</v>
      </c>
      <c r="D80" s="335" t="s">
        <v>351</v>
      </c>
      <c r="E80" s="335"/>
      <c r="F80" s="335"/>
      <c r="G80" s="335"/>
      <c r="H80" s="335"/>
      <c r="I80" s="335"/>
      <c r="J80" s="335"/>
      <c r="K80" s="335"/>
      <c r="L80" s="335"/>
      <c r="M80" s="332"/>
      <c r="N80" s="335"/>
      <c r="O80" s="335"/>
      <c r="P80" s="335"/>
      <c r="Q80" s="335"/>
      <c r="R80" s="335"/>
    </row>
    <row r="81" spans="1:10" x14ac:dyDescent="0.25">
      <c r="A81" s="335" t="s">
        <v>352</v>
      </c>
      <c r="B81" s="351">
        <v>0</v>
      </c>
      <c r="C81" s="335" t="s">
        <v>353</v>
      </c>
      <c r="D81" s="335"/>
      <c r="E81" s="335" t="s">
        <v>354</v>
      </c>
      <c r="F81" s="335"/>
      <c r="G81" s="335"/>
      <c r="H81" s="335"/>
      <c r="I81" s="335"/>
      <c r="J81" s="335"/>
    </row>
    <row r="82" spans="1:10" x14ac:dyDescent="0.25">
      <c r="A82" s="335" t="s">
        <v>355</v>
      </c>
      <c r="B82" s="351">
        <f>L73</f>
        <v>442.33496618102913</v>
      </c>
      <c r="C82" s="335"/>
      <c r="D82" s="335"/>
      <c r="E82" s="335"/>
      <c r="F82" s="335"/>
      <c r="G82" s="335"/>
      <c r="H82" s="335"/>
      <c r="I82" s="335"/>
      <c r="J82" s="335"/>
    </row>
    <row r="83" spans="1:10" x14ac:dyDescent="0.25">
      <c r="A83" s="335" t="s">
        <v>356</v>
      </c>
      <c r="B83" s="351">
        <f>(1+(B80/C80*B81))*B82</f>
        <v>442.33496618102913</v>
      </c>
      <c r="C83" s="335"/>
      <c r="D83" s="335"/>
      <c r="E83" s="335"/>
      <c r="F83" s="335"/>
      <c r="G83" s="335"/>
      <c r="H83" s="335"/>
      <c r="I83" s="335"/>
      <c r="J83" s="335"/>
    </row>
    <row r="84" spans="1:10" x14ac:dyDescent="0.25">
      <c r="A84" s="335" t="s">
        <v>357</v>
      </c>
      <c r="B84" s="351"/>
      <c r="C84" s="335"/>
      <c r="D84" s="335"/>
      <c r="E84" s="335"/>
      <c r="F84" s="335"/>
      <c r="G84" s="335"/>
      <c r="H84" s="335"/>
      <c r="I84" s="335"/>
      <c r="J84" s="335"/>
    </row>
    <row r="85" spans="1:10" x14ac:dyDescent="0.25">
      <c r="A85" s="79" t="s">
        <v>205</v>
      </c>
      <c r="B85" s="351"/>
      <c r="C85" s="335"/>
      <c r="D85" s="335"/>
      <c r="E85" s="335" t="s">
        <v>358</v>
      </c>
      <c r="F85" s="335"/>
      <c r="G85" s="335"/>
      <c r="H85" s="335" t="s">
        <v>359</v>
      </c>
      <c r="I85" s="335"/>
      <c r="J85" s="335"/>
    </row>
    <row r="86" spans="1:10" x14ac:dyDescent="0.25">
      <c r="A86" s="80" t="s">
        <v>18</v>
      </c>
      <c r="B86" s="351">
        <v>0.1</v>
      </c>
      <c r="C86" s="81">
        <f>B11</f>
        <v>20</v>
      </c>
      <c r="D86" s="80">
        <f>B18</f>
        <v>136</v>
      </c>
      <c r="E86" s="80">
        <f>B25</f>
        <v>252</v>
      </c>
      <c r="F86" s="80">
        <f>B32</f>
        <v>368</v>
      </c>
      <c r="G86" s="80">
        <f>B39</f>
        <v>484</v>
      </c>
      <c r="H86" s="80">
        <f>B46</f>
        <v>600</v>
      </c>
      <c r="I86" s="335">
        <f t="shared" ref="I86:I92" si="50">H86*10</f>
        <v>6000</v>
      </c>
      <c r="J86" s="335"/>
    </row>
    <row r="87" spans="1:10" x14ac:dyDescent="0.25">
      <c r="A87" s="82">
        <f>Q3</f>
        <v>0</v>
      </c>
      <c r="B87" s="351">
        <f t="shared" ref="B87:B92" si="51">$J$7</f>
        <v>0.22999999999999998</v>
      </c>
      <c r="C87" s="348">
        <f>F11</f>
        <v>2.65</v>
      </c>
      <c r="D87" s="331">
        <f>F18</f>
        <v>11.77</v>
      </c>
      <c r="E87" s="331">
        <f t="shared" ref="E87:E92" si="52">F25</f>
        <v>16.27</v>
      </c>
      <c r="F87" s="331">
        <f t="shared" ref="F87:F92" si="53">F32</f>
        <v>22.15</v>
      </c>
      <c r="G87" s="331">
        <f t="shared" ref="G87:G92" si="54">F39</f>
        <v>29.77</v>
      </c>
      <c r="H87" s="331">
        <f t="shared" ref="H87:H92" si="55">F46</f>
        <v>36.970000000000006</v>
      </c>
      <c r="I87" s="335">
        <f t="shared" si="50"/>
        <v>369.70000000000005</v>
      </c>
      <c r="J87" s="335">
        <f t="shared" ref="J87:J92" ca="1" si="56">_xlfn.FORECAST.LINEAR(__RPM1,OFFSET(B87:H87,0,MATCH(__RPM1,$B$86:$H$86,1)-1,1,2),OFFSET($B$86:$H$86,0,MATCH(__RPM1,$B$86:$H$86,1)-1,1,2))</f>
        <v>27.033038295684847</v>
      </c>
    </row>
    <row r="88" spans="1:10" x14ac:dyDescent="0.25">
      <c r="A88" s="82">
        <f>Q4</f>
        <v>500</v>
      </c>
      <c r="B88" s="351">
        <f t="shared" si="51"/>
        <v>0.22999999999999998</v>
      </c>
      <c r="C88" s="348">
        <f>E12</f>
        <v>3.12</v>
      </c>
      <c r="D88" s="331">
        <f>E19</f>
        <v>12.72</v>
      </c>
      <c r="E88" s="331">
        <f t="shared" si="52"/>
        <v>18.55</v>
      </c>
      <c r="F88" s="331">
        <f t="shared" si="53"/>
        <v>26.05</v>
      </c>
      <c r="G88" s="331">
        <f t="shared" si="54"/>
        <v>34.630000000000003</v>
      </c>
      <c r="H88" s="331">
        <f t="shared" si="55"/>
        <v>42.370000000000005</v>
      </c>
      <c r="I88" s="335">
        <f t="shared" si="50"/>
        <v>423.70000000000005</v>
      </c>
      <c r="J88" s="335">
        <f t="shared" ca="1" si="56"/>
        <v>31.548224222700259</v>
      </c>
    </row>
    <row r="89" spans="1:10" x14ac:dyDescent="0.25">
      <c r="A89" s="82">
        <f>Q5</f>
        <v>1000</v>
      </c>
      <c r="B89" s="351">
        <f t="shared" si="51"/>
        <v>0.22999999999999998</v>
      </c>
      <c r="C89" s="348">
        <f>E13</f>
        <v>3.84</v>
      </c>
      <c r="D89" s="331">
        <f>E20</f>
        <v>17.22</v>
      </c>
      <c r="E89" s="331">
        <f t="shared" si="52"/>
        <v>21.43</v>
      </c>
      <c r="F89" s="331">
        <f t="shared" si="53"/>
        <v>28.81</v>
      </c>
      <c r="G89" s="331">
        <f t="shared" si="54"/>
        <v>39.370000000000005</v>
      </c>
      <c r="H89" s="331">
        <f t="shared" si="55"/>
        <v>48.31</v>
      </c>
      <c r="I89" s="335">
        <f t="shared" si="50"/>
        <v>483.1</v>
      </c>
      <c r="J89" s="335">
        <f t="shared" ca="1" si="56"/>
        <v>35.577045197169554</v>
      </c>
    </row>
    <row r="90" spans="1:10" x14ac:dyDescent="0.25">
      <c r="A90" s="82">
        <f>Q6</f>
        <v>3000</v>
      </c>
      <c r="B90" s="351">
        <f t="shared" si="51"/>
        <v>0.22999999999999998</v>
      </c>
      <c r="C90" s="348">
        <f>E14</f>
        <v>6.48</v>
      </c>
      <c r="D90" s="331">
        <f>E21</f>
        <v>21.66</v>
      </c>
      <c r="E90" s="331">
        <f t="shared" si="52"/>
        <v>32.71</v>
      </c>
      <c r="F90" s="331">
        <f t="shared" si="53"/>
        <v>44.830000000000005</v>
      </c>
      <c r="G90" s="331">
        <f t="shared" si="54"/>
        <v>56.95</v>
      </c>
      <c r="H90" s="331">
        <f t="shared" si="55"/>
        <v>71.47</v>
      </c>
      <c r="I90" s="335">
        <f t="shared" si="50"/>
        <v>714.7</v>
      </c>
      <c r="J90" s="335">
        <f t="shared" ca="1" si="56"/>
        <v>52.596722328569591</v>
      </c>
    </row>
    <row r="91" spans="1:10" x14ac:dyDescent="0.25">
      <c r="A91" s="82">
        <f>Q7</f>
        <v>4000</v>
      </c>
      <c r="B91" s="351">
        <f t="shared" si="51"/>
        <v>0.22999999999999998</v>
      </c>
      <c r="C91" s="348">
        <f>E15</f>
        <v>10.74</v>
      </c>
      <c r="D91" s="331">
        <f>E22</f>
        <v>25.92</v>
      </c>
      <c r="E91" s="331">
        <f t="shared" si="52"/>
        <v>39.370000000000005</v>
      </c>
      <c r="F91" s="331">
        <f t="shared" si="53"/>
        <v>52.57</v>
      </c>
      <c r="G91" s="331">
        <f t="shared" si="54"/>
        <v>66.069999999999993</v>
      </c>
      <c r="H91" s="331">
        <f t="shared" si="55"/>
        <v>81.55</v>
      </c>
      <c r="I91" s="335">
        <f t="shared" si="50"/>
        <v>815.5</v>
      </c>
      <c r="J91" s="335">
        <f t="shared" ca="1" si="56"/>
        <v>61.221052098654248</v>
      </c>
    </row>
    <row r="92" spans="1:10" x14ac:dyDescent="0.25">
      <c r="A92" s="82">
        <f>Q8+0.1</f>
        <v>5000.1000000000004</v>
      </c>
      <c r="B92" s="351">
        <f t="shared" si="51"/>
        <v>0.22999999999999998</v>
      </c>
      <c r="C92" s="348">
        <f>E16</f>
        <v>14.66</v>
      </c>
      <c r="D92" s="331">
        <f>E23</f>
        <v>31.26</v>
      </c>
      <c r="E92" s="331">
        <f t="shared" si="52"/>
        <v>46.45</v>
      </c>
      <c r="F92" s="331">
        <f t="shared" si="53"/>
        <v>62.59</v>
      </c>
      <c r="G92" s="331">
        <f t="shared" si="54"/>
        <v>78.13</v>
      </c>
      <c r="H92" s="331">
        <f t="shared" si="55"/>
        <v>86.95</v>
      </c>
      <c r="I92" s="335">
        <f t="shared" si="50"/>
        <v>869.5</v>
      </c>
      <c r="J92" s="335">
        <f t="shared" ca="1" si="56"/>
        <v>72.548322193562001</v>
      </c>
    </row>
    <row r="95" spans="1:10" x14ac:dyDescent="0.25">
      <c r="A95" s="335" t="s">
        <v>360</v>
      </c>
      <c r="B95" s="362">
        <f>B83</f>
        <v>442.33496618102913</v>
      </c>
      <c r="C95" s="335" t="s">
        <v>18</v>
      </c>
      <c r="D95" s="335"/>
      <c r="E95" s="335"/>
      <c r="F95" s="335"/>
      <c r="G95" s="335"/>
      <c r="H95" s="335"/>
      <c r="I95" s="335"/>
      <c r="J95" s="335"/>
    </row>
    <row r="96" spans="1:10" x14ac:dyDescent="0.25">
      <c r="A96" s="335" t="s">
        <v>361</v>
      </c>
      <c r="B96" s="362">
        <f>B80</f>
        <v>40</v>
      </c>
      <c r="C96" s="335" t="s">
        <v>97</v>
      </c>
      <c r="D96" s="335"/>
      <c r="E96" s="335"/>
      <c r="F96" s="335"/>
      <c r="G96" s="335"/>
      <c r="H96" s="335"/>
      <c r="I96" s="335"/>
      <c r="J96" s="335"/>
    </row>
    <row r="97" spans="1:3" x14ac:dyDescent="0.25">
      <c r="A97" s="335" t="s">
        <v>362</v>
      </c>
      <c r="B97" s="363">
        <f ca="1">_xlfn.FORECAST.LINEAR(Press1,OFFSET(J87:J92,MATCH(Press1,A87:A92,1)-1,0,2),OFFSET(A87:A92,MATCH(Press1,A87:A92,1)-1,0,2))</f>
        <v>27.394253169846081</v>
      </c>
      <c r="C97" s="335" t="s">
        <v>19</v>
      </c>
    </row>
  </sheetData>
  <mergeCells count="3">
    <mergeCell ref="C9:E9"/>
    <mergeCell ref="F9:H9"/>
    <mergeCell ref="L9:N9"/>
  </mergeCells>
  <pageMargins left="0.70866141732283472" right="0.70866141732283472" top="0.74803149606299213" bottom="0.74803149606299213" header="0.31496062992125984" footer="0.31496062992125984"/>
  <pageSetup scale="63" orientation="landscape" r:id="rId1"/>
  <rowBreaks count="1" manualBreakCount="1">
    <brk id="54" max="1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 xmlns="b3561afa-cefe-4049-a22e-6a867bd744ab" xsi:nil="true"/>
    <TaxCatchAll xmlns="78378303-077c-497f-ae02-bc03df67cab3" xsi:nil="true"/>
    <lcf76f155ced4ddcb4097134ff3c332f xmlns="b3561afa-cefe-4049-a22e-6a867bd744a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0DD74B38D1E04BAACCBE2F440FA6A3" ma:contentTypeVersion="17" ma:contentTypeDescription="Create a new document." ma:contentTypeScope="" ma:versionID="b930630ccbbd518d1d01803495642fd2">
  <xsd:schema xmlns:xsd="http://www.w3.org/2001/XMLSchema" xmlns:xs="http://www.w3.org/2001/XMLSchema" xmlns:p="http://schemas.microsoft.com/office/2006/metadata/properties" xmlns:ns2="b3561afa-cefe-4049-a22e-6a867bd744ab" xmlns:ns3="78378303-077c-497f-ae02-bc03df67cab3" targetNamespace="http://schemas.microsoft.com/office/2006/metadata/properties" ma:root="true" ma:fieldsID="d7aa7eddcf6125d7a9b4aa136592e970" ns2:_="" ns3:_="">
    <xsd:import namespace="b3561afa-cefe-4049-a22e-6a867bd744ab"/>
    <xsd:import namespace="78378303-077c-497f-ae02-bc03df67ca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Date"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561afa-cefe-4049-a22e-6a867bd744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Date" ma:index="13" nillable="true" ma:displayName="Date" ma:format="DateOnly" ma:internalName="Date">
      <xsd:simpleType>
        <xsd:restriction base="dms:DateTim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a76394d-8035-49de-8cce-67ad37a119e4" ma:termSetId="09814cd3-568e-fe90-9814-8d621ff8fb84" ma:anchorId="fba54fb3-c3e1-fe81-a776-ca4b69148c4d" ma:open="true" ma:isKeyword="false">
      <xsd:complexType>
        <xsd:sequence>
          <xsd:element ref="pc:Terms" minOccurs="0" maxOccurs="1"/>
        </xsd:sequence>
      </xsd:complex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378303-077c-497f-ae02-bc03df67cab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019514e-23b7-476e-b70c-49c4d76cbd12}" ma:internalName="TaxCatchAll" ma:showField="CatchAllData" ma:web="78378303-077c-497f-ae02-bc03df67ca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4725C0-A9AB-4C0D-A930-5D148174DAF9}">
  <ds:schemaRefs>
    <ds:schemaRef ds:uri="http://schemas.microsoft.com/sharepoint/v3/contenttype/forms"/>
  </ds:schemaRefs>
</ds:datastoreItem>
</file>

<file path=customXml/itemProps2.xml><?xml version="1.0" encoding="utf-8"?>
<ds:datastoreItem xmlns:ds="http://schemas.openxmlformats.org/officeDocument/2006/customXml" ds:itemID="{68F7A218-60BB-485F-979B-05393DA8C43A}">
  <ds:schemaRefs>
    <ds:schemaRef ds:uri="http://schemas.microsoft.com/office/2006/metadata/properties"/>
    <ds:schemaRef ds:uri="http://schemas.microsoft.com/office/infopath/2007/PartnerControls"/>
    <ds:schemaRef ds:uri="b3561afa-cefe-4049-a22e-6a867bd744ab"/>
    <ds:schemaRef ds:uri="78378303-077c-497f-ae02-bc03df67cab3"/>
  </ds:schemaRefs>
</ds:datastoreItem>
</file>

<file path=customXml/itemProps3.xml><?xml version="1.0" encoding="utf-8"?>
<ds:datastoreItem xmlns:ds="http://schemas.openxmlformats.org/officeDocument/2006/customXml" ds:itemID="{6AD58B51-E3F4-4EA3-8BB8-7A0D64583F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561afa-cefe-4049-a22e-6a867bd744ab"/>
    <ds:schemaRef ds:uri="78378303-077c-497f-ae02-bc03df67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802e0c6-e591-4d47-b3d5-4cf056fb8e2b}" enabled="0" method="" siteId="{5802e0c6-e591-4d47-b3d5-4cf056fb8e2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vt:i4>
      </vt:variant>
      <vt:variant>
        <vt:lpstr>Charts</vt:lpstr>
      </vt:variant>
      <vt:variant>
        <vt:i4>3</vt:i4>
      </vt:variant>
      <vt:variant>
        <vt:lpstr>Named Ranges</vt:lpstr>
      </vt:variant>
      <vt:variant>
        <vt:i4>64</vt:i4>
      </vt:variant>
    </vt:vector>
  </HeadingPairs>
  <TitlesOfParts>
    <vt:vector size="68" baseType="lpstr">
      <vt:lpstr>PumpSize</vt:lpstr>
      <vt:lpstr>Comet Pump Curves</vt:lpstr>
      <vt:lpstr>Fusion2 Pump Curves</vt:lpstr>
      <vt:lpstr>Pump Curves F3</vt:lpstr>
      <vt:lpstr>COMET2_DH300!__RPM1</vt:lpstr>
      <vt:lpstr>'COMET2_HP-DH500'!__RPM1</vt:lpstr>
      <vt:lpstr>COMET2_SH300!__RPM1</vt:lpstr>
      <vt:lpstr>'DH -COMET_100'!__RPM1</vt:lpstr>
      <vt:lpstr>'DH -F2_100'!__RPM1</vt:lpstr>
      <vt:lpstr>F2_300_DH!__RPM1</vt:lpstr>
      <vt:lpstr>F2_300_SH!__RPM1</vt:lpstr>
      <vt:lpstr>F2_500_DH!__RPM1</vt:lpstr>
      <vt:lpstr>F2_500_SH!__RPM1</vt:lpstr>
      <vt:lpstr>FUSION3_DH100!__RPM1</vt:lpstr>
      <vt:lpstr>FUSION3_DH300!__RPM1</vt:lpstr>
      <vt:lpstr>'FUSION3_DH500 '!__RPM1</vt:lpstr>
      <vt:lpstr>FUSION3_SH300!__RPM1</vt:lpstr>
      <vt:lpstr>'FUSION3_SH500 '!__RPM1</vt:lpstr>
      <vt:lpstr>Bat.Cap</vt:lpstr>
      <vt:lpstr>Bat.Cap.Req</vt:lpstr>
      <vt:lpstr>datalist</vt:lpstr>
      <vt:lpstr>F.disch</vt:lpstr>
      <vt:lpstr>F.temp</vt:lpstr>
      <vt:lpstr>I.Avg</vt:lpstr>
      <vt:lpstr>I.Pavg</vt:lpstr>
      <vt:lpstr>Insight</vt:lpstr>
      <vt:lpstr>MPPT</vt:lpstr>
      <vt:lpstr>Pavg</vt:lpstr>
      <vt:lpstr>COMET2_DH300!Press1</vt:lpstr>
      <vt:lpstr>'COMET2_HP-DH500'!Press1</vt:lpstr>
      <vt:lpstr>COMET2_SH300!Press1</vt:lpstr>
      <vt:lpstr>'DH -COMET_100'!Press1</vt:lpstr>
      <vt:lpstr>'DH -F2_100'!Press1</vt:lpstr>
      <vt:lpstr>F2_300_DH!Press1</vt:lpstr>
      <vt:lpstr>F2_300_SH!Press1</vt:lpstr>
      <vt:lpstr>F2_500_DH!Press1</vt:lpstr>
      <vt:lpstr>F2_500_SH!Press1</vt:lpstr>
      <vt:lpstr>FUSION3_DH100!Press1</vt:lpstr>
      <vt:lpstr>FUSION3_DH300!Press1</vt:lpstr>
      <vt:lpstr>'FUSION3_DH500 '!Press1</vt:lpstr>
      <vt:lpstr>FUSION3_SH300!Press1</vt:lpstr>
      <vt:lpstr>'FUSION3_SH500 '!Press1</vt:lpstr>
      <vt:lpstr>COMET2_DH300!Print_Area</vt:lpstr>
      <vt:lpstr>'COMET2_HP-DH500'!Print_Area</vt:lpstr>
      <vt:lpstr>COMET2_SH300!Print_Area</vt:lpstr>
      <vt:lpstr>'DH -COMET_100'!Print_Area</vt:lpstr>
      <vt:lpstr>'DH -F2_100'!Print_Area</vt:lpstr>
      <vt:lpstr>F2_300_DH!Print_Area</vt:lpstr>
      <vt:lpstr>F2_300_SH!Print_Area</vt:lpstr>
      <vt:lpstr>F2_500_DH!Print_Area</vt:lpstr>
      <vt:lpstr>F2_500_SH!Print_Area</vt:lpstr>
      <vt:lpstr>FUSION3_DH100!Print_Area</vt:lpstr>
      <vt:lpstr>FUSION3_DH300!Print_Area</vt:lpstr>
      <vt:lpstr>'FUSION3_DH500 '!Print_Area</vt:lpstr>
      <vt:lpstr>FUSION3_SH300!Print_Area</vt:lpstr>
      <vt:lpstr>'FUSION3_SH500 '!Print_Area</vt:lpstr>
      <vt:lpstr>Pwr.10.Day</vt:lpstr>
      <vt:lpstr>Pwr.Day</vt:lpstr>
      <vt:lpstr>Q</vt:lpstr>
      <vt:lpstr>Q.Pavg</vt:lpstr>
      <vt:lpstr>Rechrg.Time</vt:lpstr>
      <vt:lpstr>FUSION3_DH100!sg_corr_factor</vt:lpstr>
      <vt:lpstr>'FUSION3_DH500 '!sg_corr_factor</vt:lpstr>
      <vt:lpstr>FUSION3_SH300!sg_corr_factor</vt:lpstr>
      <vt:lpstr>'FUSION3_SH500 '!sg_corr_factor</vt:lpstr>
      <vt:lpstr>sg_corr_factor</vt:lpstr>
      <vt:lpstr>t.cycle</vt:lpstr>
      <vt:lpstr>V.Panel</vt:lpstr>
    </vt:vector>
  </TitlesOfParts>
  <Manager/>
  <Company>Noetic Engineering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 Shute</dc:creator>
  <cp:keywords/>
  <dc:description/>
  <cp:lastModifiedBy>Mike Smith</cp:lastModifiedBy>
  <cp:revision/>
  <dcterms:created xsi:type="dcterms:W3CDTF">2005-01-25T15:39:59Z</dcterms:created>
  <dcterms:modified xsi:type="dcterms:W3CDTF">2026-04-02T23:20:57Z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G. Meijer</vt:lpwstr>
  </property>
  <property fmtid="{D5CDD505-2E9C-101B-9397-08002B2CF9AE}" pid="3" name="Client">
    <vt:lpwstr>Sirius Products Inc.</vt:lpwstr>
  </property>
  <property fmtid="{D5CDD505-2E9C-101B-9397-08002B2CF9AE}" pid="4" name="Date completed">
    <vt:lpwstr>March 22, 2006</vt:lpwstr>
  </property>
  <property fmtid="{D5CDD505-2E9C-101B-9397-08002B2CF9AE}" pid="5" name="_NewReviewCycle">
    <vt:lpwstr/>
  </property>
  <property fmtid="{D5CDD505-2E9C-101B-9397-08002B2CF9AE}" pid="6" name="ContentTypeId">
    <vt:lpwstr>0x010100570DD74B38D1E04BAACCBE2F440FA6A3</vt:lpwstr>
  </property>
  <property fmtid="{D5CDD505-2E9C-101B-9397-08002B2CF9AE}" pid="7" name="MediaServiceImageTags">
    <vt:lpwstr/>
  </property>
</Properties>
</file>